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huhrat Asoev\Desktop\Квартални показател 2024\"/>
    </mc:Choice>
  </mc:AlternateContent>
  <xr:revisionPtr revIDLastSave="0" documentId="13_ncr:1_{FB3DFCCE-9344-440A-BFF9-ED698A588C3F}" xr6:coauthVersionLast="45" xr6:coauthVersionMax="47" xr10:uidLastSave="{00000000-0000-0000-0000-000000000000}"/>
  <bookViews>
    <workbookView xWindow="525" yWindow="330" windowWidth="14655" windowHeight="15480" firstSheet="1" activeTab="4" xr2:uid="{00000000-000D-0000-FFFF-FFFF00000000}"/>
  </bookViews>
  <sheets>
    <sheet name="OPEX (3)" sheetId="8" state="hidden" r:id="rId1"/>
    <sheet name="2021" sheetId="12" r:id="rId2"/>
    <sheet name="2022" sheetId="11" r:id="rId3"/>
    <sheet name="2023" sheetId="10" r:id="rId4"/>
    <sheet name="2024" sheetId="13" r:id="rId5"/>
  </sheets>
  <definedNames>
    <definedName name="EUR" localSheetId="0">#REF!</definedName>
    <definedName name="EUR">#REF!</definedName>
    <definedName name="Kuwaitii_Dinar" localSheetId="0">#REF!</definedName>
    <definedName name="Kuwaitii_Dinar">#REF!</definedName>
    <definedName name="SDR" localSheetId="0">#REF!</definedName>
    <definedName name="SDR">#REF!</definedName>
    <definedName name="USD" localSheetId="0">#REF!</definedName>
    <definedName name="USD">#REF!</definedName>
    <definedName name="YN" localSheetId="0">#REF!</definedName>
    <definedName name="YN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3" l="1"/>
  <c r="F20" i="13"/>
  <c r="G20" i="13"/>
  <c r="E19" i="13"/>
  <c r="F19" i="13"/>
  <c r="G19" i="13"/>
  <c r="G22" i="13"/>
  <c r="D22" i="13"/>
  <c r="F22" i="13"/>
  <c r="E22" i="13"/>
  <c r="D20" i="13"/>
  <c r="D19" i="13"/>
  <c r="G17" i="13" l="1"/>
  <c r="G29" i="13" s="1"/>
  <c r="F17" i="13"/>
  <c r="F29" i="13" s="1"/>
  <c r="D17" i="13"/>
  <c r="D29" i="13" s="1"/>
  <c r="E17" i="13"/>
  <c r="E29" i="13" s="1"/>
  <c r="G25" i="12"/>
  <c r="F25" i="12"/>
  <c r="E25" i="12"/>
  <c r="D25" i="12"/>
  <c r="D22" i="12" s="1"/>
  <c r="G24" i="12"/>
  <c r="F24" i="12"/>
  <c r="E24" i="12"/>
  <c r="D24" i="12"/>
  <c r="G22" i="12"/>
  <c r="F22" i="12"/>
  <c r="E22" i="12"/>
  <c r="G20" i="12"/>
  <c r="F20" i="12"/>
  <c r="E20" i="12"/>
  <c r="D20" i="12"/>
  <c r="G19" i="12"/>
  <c r="G17" i="12" s="1"/>
  <c r="G39" i="12" s="1"/>
  <c r="F19" i="12"/>
  <c r="F17" i="12" s="1"/>
  <c r="F39" i="12" s="1"/>
  <c r="E19" i="12"/>
  <c r="E17" i="12" s="1"/>
  <c r="E39" i="12" s="1"/>
  <c r="D19" i="12"/>
  <c r="D17" i="12" s="1"/>
  <c r="D39" i="12" s="1"/>
  <c r="G11" i="12"/>
  <c r="F11" i="12"/>
  <c r="E11" i="12"/>
  <c r="D11" i="12"/>
  <c r="G10" i="12"/>
  <c r="F10" i="12"/>
  <c r="E10" i="12"/>
  <c r="D10" i="12"/>
  <c r="G8" i="12"/>
  <c r="F8" i="12"/>
  <c r="E8" i="12"/>
  <c r="D8" i="12"/>
  <c r="G6" i="12"/>
  <c r="F6" i="12"/>
  <c r="E6" i="12"/>
  <c r="D6" i="12"/>
  <c r="G25" i="11"/>
  <c r="F25" i="11"/>
  <c r="E25" i="11"/>
  <c r="D25" i="11"/>
  <c r="G24" i="11"/>
  <c r="F24" i="11"/>
  <c r="E24" i="11"/>
  <c r="D24" i="11"/>
  <c r="G22" i="11"/>
  <c r="F22" i="11"/>
  <c r="E22" i="11"/>
  <c r="D22" i="11"/>
  <c r="G20" i="11"/>
  <c r="F20" i="11"/>
  <c r="E20" i="11"/>
  <c r="D20" i="11"/>
  <c r="G11" i="11"/>
  <c r="G19" i="11" s="1"/>
  <c r="G17" i="11" s="1"/>
  <c r="G29" i="11" s="1"/>
  <c r="F11" i="11"/>
  <c r="F19" i="11" s="1"/>
  <c r="F17" i="11" s="1"/>
  <c r="F29" i="11" s="1"/>
  <c r="E11" i="11"/>
  <c r="E19" i="11" s="1"/>
  <c r="E17" i="11" s="1"/>
  <c r="E29" i="11" s="1"/>
  <c r="D11" i="11"/>
  <c r="D19" i="11" s="1"/>
  <c r="D17" i="11" s="1"/>
  <c r="D29" i="11" s="1"/>
  <c r="G10" i="11"/>
  <c r="F10" i="11"/>
  <c r="E10" i="11"/>
  <c r="D10" i="11"/>
  <c r="G8" i="11"/>
  <c r="F8" i="11"/>
  <c r="E8" i="11"/>
  <c r="D8" i="11"/>
  <c r="G6" i="11"/>
  <c r="F6" i="11"/>
  <c r="E6" i="11"/>
  <c r="D6" i="11"/>
  <c r="G24" i="10"/>
  <c r="F24" i="10"/>
  <c r="E24" i="10"/>
  <c r="D24" i="10"/>
  <c r="D25" i="10"/>
  <c r="G25" i="10"/>
  <c r="F25" i="10"/>
  <c r="E25" i="10"/>
  <c r="G11" i="10"/>
  <c r="G19" i="10" s="1"/>
  <c r="F11" i="10"/>
  <c r="F19" i="10" s="1"/>
  <c r="E11" i="10"/>
  <c r="E19" i="10" s="1"/>
  <c r="D11" i="10"/>
  <c r="D19" i="10" s="1"/>
  <c r="G10" i="10"/>
  <c r="G20" i="10" s="1"/>
  <c r="F10" i="10"/>
  <c r="F20" i="10" s="1"/>
  <c r="E10" i="10"/>
  <c r="E20" i="10" s="1"/>
  <c r="D10" i="10"/>
  <c r="D20" i="10" s="1"/>
  <c r="G6" i="10"/>
  <c r="F6" i="10"/>
  <c r="E6" i="10"/>
  <c r="D6" i="10"/>
  <c r="G22" i="10" l="1"/>
  <c r="E22" i="10"/>
  <c r="D22" i="10"/>
  <c r="F22" i="10"/>
  <c r="F17" i="10"/>
  <c r="E17" i="10"/>
  <c r="D17" i="10"/>
  <c r="G8" i="10"/>
  <c r="F8" i="10"/>
  <c r="E8" i="10"/>
  <c r="D8" i="10"/>
  <c r="D29" i="10" l="1"/>
  <c r="F29" i="10"/>
  <c r="E29" i="10"/>
  <c r="G17" i="10"/>
  <c r="G29" i="10" l="1"/>
  <c r="K34" i="8" l="1"/>
  <c r="K30" i="8"/>
  <c r="K26" i="8"/>
  <c r="E25" i="8"/>
  <c r="D25" i="8"/>
  <c r="E24" i="8"/>
  <c r="D24" i="8"/>
  <c r="K22" i="8"/>
  <c r="G22" i="8"/>
  <c r="F22" i="8"/>
  <c r="H20" i="8"/>
  <c r="H19" i="8"/>
  <c r="H18" i="8"/>
  <c r="G17" i="8"/>
  <c r="F17" i="8"/>
  <c r="E17" i="8"/>
  <c r="D17" i="8"/>
  <c r="D11" i="8"/>
  <c r="H11" i="8" s="1"/>
  <c r="H10" i="8"/>
  <c r="H9" i="8"/>
  <c r="H8" i="8"/>
  <c r="H7" i="8"/>
  <c r="H6" i="8"/>
  <c r="K36" i="8" l="1"/>
  <c r="H17" i="8"/>
  <c r="E22" i="8"/>
  <c r="D22" i="8"/>
</calcChain>
</file>

<file path=xl/sharedStrings.xml><?xml version="1.0" encoding="utf-8"?>
<sst xmlns="http://schemas.openxmlformats.org/spreadsheetml/2006/main" count="136" uniqueCount="50">
  <si>
    <t>в том числе:</t>
  </si>
  <si>
    <t>1-й кв.</t>
  </si>
  <si>
    <t>2-й кв.</t>
  </si>
  <si>
    <t>3-й кв.</t>
  </si>
  <si>
    <t>4-й кв.</t>
  </si>
  <si>
    <t>* Нижеприведенные данные являются неаудированными показателями по итогам каждого квартала.</t>
  </si>
  <si>
    <t>Общий результат деятельности (млн. сомони)
(прибыль+; убыток-)</t>
  </si>
  <si>
    <t xml:space="preserve"> -</t>
  </si>
  <si>
    <t>ОАО "Шабакахои таксимоти барк" (млн.кВт.ч.)</t>
  </si>
  <si>
    <t>ОАО "Шабакахои таксимоти барк"</t>
  </si>
  <si>
    <t>Производственные расходы</t>
  </si>
  <si>
    <t>Расходы на покупку электроэнергии</t>
  </si>
  <si>
    <t>Расходы по кредитным обязательствам</t>
  </si>
  <si>
    <t>Квартальные операционные показатели ОАО "Шабакахои интиколи барк" для представления в рамках проекта №D558-TJ от 5 мая 2020 года</t>
  </si>
  <si>
    <t>Получено электроэнергии от 
ОАХК "Барки Точик" (млн.кВт.ч.)</t>
  </si>
  <si>
    <t>Отпущено электроэнергии (млн.кВт.ч.)</t>
  </si>
  <si>
    <t>Действующие тарифы ОАО "Шабакахои интиколи барк" на оказания услуг по транзиту электроэнергии (дирам/кВт.ч.)</t>
  </si>
  <si>
    <t>ОАХК "Барки Точик"</t>
  </si>
  <si>
    <t>Общий доход от оказания услуг по транзиту (млн.сомони)</t>
  </si>
  <si>
    <t>Общие расходы ОАО "Шабакахои интиколи барк" (млн.сомони)</t>
  </si>
  <si>
    <t>Основная кредиторская задолженность (млн.сомони)</t>
  </si>
  <si>
    <t xml:space="preserve"> - </t>
  </si>
  <si>
    <t>2022 год</t>
  </si>
  <si>
    <t>ОАО "БТ" Экспорт электроэнергии (млн.кВт.ч.)</t>
  </si>
  <si>
    <t>* The following data are unaudited figures for each quarter.</t>
  </si>
  <si>
    <t>2023 (before the audit)</t>
  </si>
  <si>
    <t>Electicity received from 
JSC "Barqi Tojik" (mln.kWt.h.)</t>
  </si>
  <si>
    <t>1st quarter</t>
  </si>
  <si>
    <t>2nd quarter</t>
  </si>
  <si>
    <t>3rd quarter</t>
  </si>
  <si>
    <t>4th quarter</t>
  </si>
  <si>
    <t>Transmitted electricity (mln.kWt.h.)</t>
  </si>
  <si>
    <t>including:</t>
  </si>
  <si>
    <t>JSC "BT" electricity export (mln.kWt.h.)</t>
  </si>
  <si>
    <t>JSC "Barqi Tojik"</t>
  </si>
  <si>
    <t>JSC "Shabakahoi Taksimoti Barq"</t>
  </si>
  <si>
    <t>JSC "Shabakahoi Taksimoti Barq" (mln.kWt.h.)</t>
  </si>
  <si>
    <t>Current electricity transit tariffs of JSC "Shabakahoi Intikoli Barq" (diram/kWt.h.)</t>
  </si>
  <si>
    <t>Total revenue from transit of electricity (mln.somoni)</t>
  </si>
  <si>
    <t>Total expenditure of JSC "Shabakahoi Intikoli Barq" (mln.somoni)</t>
  </si>
  <si>
    <t>Operating expenditure</t>
  </si>
  <si>
    <t>Electricity purchase expenditure</t>
  </si>
  <si>
    <t>Costs for loan obligations</t>
  </si>
  <si>
    <t>Principal accounts payable (mln.somoni)</t>
  </si>
  <si>
    <t>Overall performance result (mln. somoni)
(profit+; losses-)</t>
  </si>
  <si>
    <t>Quarterly operating indicators of JSC "Shabakahoi Intikoli Bark" in 2021</t>
  </si>
  <si>
    <t>Quarterly operating indicators of JSC "Shabakahoi Intikoli Bark" in 2022</t>
  </si>
  <si>
    <t>Quarterly operating indicators of JSC "Shabakahoi Intikoli Bark" in 2023</t>
  </si>
  <si>
    <t>2024 (before the audit)</t>
  </si>
  <si>
    <t>Quarterly operating indicators of JSC "Shabakahoi Intikoli Bark"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</si>
</sst>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7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5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4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left"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 vertical="center"/>
    </xf>
    <xf numFmtId="165" fontId="1" fillId="5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1" applyNumberFormat="1" applyFont="1" applyFill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0" fontId="4" fillId="5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wrapText="1"/>
    </xf>
    <xf numFmtId="165" fontId="1" fillId="2" borderId="4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165" fontId="2" fillId="4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wrapText="1"/>
    </xf>
    <xf numFmtId="165" fontId="1" fillId="2" borderId="4" xfId="1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/>
    </xf>
    <xf numFmtId="0" fontId="2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left" wrapText="1"/>
    </xf>
    <xf numFmtId="0" fontId="2" fillId="5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3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0" fontId="4" fillId="5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zoomScale="110" zoomScaleNormal="110" workbookViewId="0">
      <selection activeCell="H6" sqref="H6"/>
    </sheetView>
  </sheetViews>
  <sheetFormatPr defaultRowHeight="15" x14ac:dyDescent="0.25"/>
  <cols>
    <col min="2" max="2" width="3.5703125" customWidth="1"/>
    <col min="3" max="3" width="47.140625" customWidth="1"/>
    <col min="4" max="6" width="12.28515625" bestFit="1" customWidth="1"/>
    <col min="7" max="7" width="11.28515625" bestFit="1" customWidth="1"/>
    <col min="8" max="8" width="12.140625" customWidth="1"/>
    <col min="9" max="9" width="11.7109375" customWidth="1"/>
    <col min="10" max="10" width="9.28515625" bestFit="1" customWidth="1"/>
    <col min="11" max="11" width="12.85546875" bestFit="1" customWidth="1"/>
  </cols>
  <sheetData>
    <row r="1" spans="1:9" ht="33.75" customHeight="1" x14ac:dyDescent="0.25">
      <c r="A1" s="46" t="s">
        <v>13</v>
      </c>
      <c r="B1" s="46"/>
      <c r="C1" s="46"/>
      <c r="D1" s="46"/>
      <c r="E1" s="46"/>
      <c r="F1" s="46"/>
      <c r="G1" s="46"/>
    </row>
    <row r="2" spans="1:9" ht="41.25" customHeight="1" x14ac:dyDescent="0.25">
      <c r="A2" s="47" t="s">
        <v>5</v>
      </c>
      <c r="B2" s="47"/>
      <c r="C2" s="47"/>
      <c r="D2" s="47"/>
      <c r="E2" s="47"/>
      <c r="F2" s="47"/>
      <c r="G2" s="47"/>
    </row>
    <row r="3" spans="1:9" x14ac:dyDescent="0.25">
      <c r="B3" s="48"/>
      <c r="C3" s="48"/>
      <c r="D3" s="49" t="s">
        <v>22</v>
      </c>
      <c r="E3" s="49"/>
      <c r="F3" s="49"/>
      <c r="G3" s="49"/>
    </row>
    <row r="4" spans="1:9" ht="15" customHeight="1" x14ac:dyDescent="0.25">
      <c r="B4" s="48"/>
      <c r="C4" s="48"/>
      <c r="D4" s="2" t="s">
        <v>1</v>
      </c>
      <c r="E4" s="3" t="s">
        <v>2</v>
      </c>
      <c r="F4" s="3" t="s">
        <v>3</v>
      </c>
      <c r="G4" s="1" t="s">
        <v>4</v>
      </c>
    </row>
    <row r="5" spans="1:9" x14ac:dyDescent="0.25">
      <c r="B5" s="7"/>
      <c r="C5" s="7"/>
      <c r="D5" s="19"/>
      <c r="E5" s="19"/>
      <c r="F5" s="19"/>
      <c r="G5" s="19"/>
      <c r="H5" s="13"/>
      <c r="I5" s="24"/>
    </row>
    <row r="6" spans="1:9" ht="31.5" customHeight="1" x14ac:dyDescent="0.25">
      <c r="B6" s="50" t="s">
        <v>14</v>
      </c>
      <c r="C6" s="51"/>
      <c r="D6" s="14">
        <v>5341.9</v>
      </c>
      <c r="E6" s="14">
        <v>5115.09</v>
      </c>
      <c r="F6" s="14">
        <v>6115.799</v>
      </c>
      <c r="G6" s="14">
        <v>4993.4799999999996</v>
      </c>
      <c r="H6" s="13">
        <f t="shared" ref="H6:H11" si="0">G6+F6+E6+D6</f>
        <v>21566.269</v>
      </c>
      <c r="I6" s="24"/>
    </row>
    <row r="7" spans="1:9" x14ac:dyDescent="0.25">
      <c r="B7" s="6"/>
      <c r="C7" s="6"/>
      <c r="D7" s="20"/>
      <c r="E7" s="20"/>
      <c r="F7" s="20"/>
      <c r="G7" s="20"/>
      <c r="H7" s="13">
        <f t="shared" si="0"/>
        <v>0</v>
      </c>
      <c r="I7" s="24"/>
    </row>
    <row r="8" spans="1:9" ht="30" customHeight="1" x14ac:dyDescent="0.25">
      <c r="B8" s="45" t="s">
        <v>15</v>
      </c>
      <c r="C8" s="45"/>
      <c r="D8" s="14">
        <v>5167.46</v>
      </c>
      <c r="E8" s="14">
        <v>4930.8500000000004</v>
      </c>
      <c r="F8" s="14">
        <v>5890.45</v>
      </c>
      <c r="G8" s="14">
        <v>4819.7</v>
      </c>
      <c r="H8" s="13">
        <f t="shared" si="0"/>
        <v>20808.46</v>
      </c>
      <c r="I8" s="24"/>
    </row>
    <row r="9" spans="1:9" x14ac:dyDescent="0.25">
      <c r="B9" s="6"/>
      <c r="C9" s="5" t="s">
        <v>0</v>
      </c>
      <c r="D9" s="21"/>
      <c r="E9" s="21"/>
      <c r="F9" s="21"/>
      <c r="G9" s="21"/>
      <c r="H9" s="13">
        <f t="shared" si="0"/>
        <v>0</v>
      </c>
      <c r="I9" s="24"/>
    </row>
    <row r="10" spans="1:9" ht="15.75" customHeight="1" x14ac:dyDescent="0.25">
      <c r="B10" s="54" t="s">
        <v>8</v>
      </c>
      <c r="C10" s="54"/>
      <c r="D10" s="21">
        <v>4858.49</v>
      </c>
      <c r="E10" s="21">
        <v>3832.6</v>
      </c>
      <c r="F10" s="21">
        <v>4214.8999999999996</v>
      </c>
      <c r="G10" s="21">
        <v>4579.08</v>
      </c>
      <c r="H10" s="13">
        <f t="shared" si="0"/>
        <v>17485.07</v>
      </c>
      <c r="I10" s="24"/>
    </row>
    <row r="11" spans="1:9" ht="15.75" customHeight="1" x14ac:dyDescent="0.25">
      <c r="B11" s="54" t="s">
        <v>23</v>
      </c>
      <c r="C11" s="54"/>
      <c r="D11" s="21">
        <f>126.853879+99.55045+81.419521</f>
        <v>307.82384999999999</v>
      </c>
      <c r="E11" s="21">
        <v>1092.97</v>
      </c>
      <c r="F11" s="21">
        <v>1670.39</v>
      </c>
      <c r="G11" s="21">
        <v>239.44</v>
      </c>
      <c r="H11" s="13">
        <f t="shared" si="0"/>
        <v>3310.6238499999999</v>
      </c>
      <c r="I11" s="24"/>
    </row>
    <row r="12" spans="1:9" ht="16.5" customHeight="1" x14ac:dyDescent="0.25">
      <c r="B12" s="6"/>
      <c r="C12" s="6"/>
      <c r="D12" s="20"/>
      <c r="E12" s="20"/>
      <c r="F12" s="20"/>
      <c r="G12" s="20"/>
      <c r="H12" s="13"/>
      <c r="I12" s="24"/>
    </row>
    <row r="13" spans="1:9" ht="48.75" customHeight="1" x14ac:dyDescent="0.25">
      <c r="B13" s="50" t="s">
        <v>16</v>
      </c>
      <c r="C13" s="50"/>
      <c r="D13" s="25">
        <v>2.56</v>
      </c>
      <c r="E13" s="25">
        <v>2.56</v>
      </c>
      <c r="F13" s="25">
        <v>2.56</v>
      </c>
      <c r="G13" s="25">
        <v>2.56</v>
      </c>
      <c r="H13" s="13"/>
      <c r="I13" s="24"/>
    </row>
    <row r="14" spans="1:9" ht="14.25" customHeight="1" x14ac:dyDescent="0.25">
      <c r="B14" s="6"/>
      <c r="C14" s="8" t="s">
        <v>17</v>
      </c>
      <c r="D14" s="25">
        <v>2.56</v>
      </c>
      <c r="E14" s="25">
        <v>2.56</v>
      </c>
      <c r="F14" s="25">
        <v>2.56</v>
      </c>
      <c r="G14" s="25">
        <v>2.56</v>
      </c>
      <c r="H14" s="13"/>
      <c r="I14" s="24"/>
    </row>
    <row r="15" spans="1:9" ht="14.25" customHeight="1" x14ac:dyDescent="0.25">
      <c r="B15" s="6"/>
      <c r="C15" s="8" t="s">
        <v>9</v>
      </c>
      <c r="D15" s="25">
        <v>2.56</v>
      </c>
      <c r="E15" s="25">
        <v>2.56</v>
      </c>
      <c r="F15" s="25">
        <v>2.56</v>
      </c>
      <c r="G15" s="25">
        <v>2.56</v>
      </c>
      <c r="H15" s="13"/>
      <c r="I15" s="24"/>
    </row>
    <row r="16" spans="1:9" x14ac:dyDescent="0.25">
      <c r="B16" s="5"/>
      <c r="C16" s="6"/>
      <c r="D16" s="20"/>
      <c r="E16" s="20"/>
      <c r="F16" s="20"/>
      <c r="G16" s="20"/>
      <c r="H16" s="13"/>
      <c r="I16" s="24"/>
    </row>
    <row r="17" spans="2:12" ht="33" customHeight="1" x14ac:dyDescent="0.25">
      <c r="B17" s="50" t="s">
        <v>18</v>
      </c>
      <c r="C17" s="50"/>
      <c r="D17" s="15">
        <f>D19+D20</f>
        <v>132253.98884000001</v>
      </c>
      <c r="E17" s="15">
        <f>E19+E20</f>
        <v>126085.63223</v>
      </c>
      <c r="F17" s="15">
        <f>F19+F20</f>
        <v>150674.09746000002</v>
      </c>
      <c r="G17" s="15">
        <f>G19+G20</f>
        <v>123354.32781</v>
      </c>
      <c r="H17" s="13">
        <f>G17+F17+E17+D17</f>
        <v>532368.04634</v>
      </c>
      <c r="I17" s="24"/>
    </row>
    <row r="18" spans="2:12" x14ac:dyDescent="0.25">
      <c r="B18" s="4"/>
      <c r="C18" s="5" t="s">
        <v>0</v>
      </c>
      <c r="D18" s="21"/>
      <c r="E18" s="21"/>
      <c r="F18" s="21"/>
      <c r="G18" s="21"/>
      <c r="H18" s="13">
        <f>G18+F18+E18+D18</f>
        <v>0</v>
      </c>
      <c r="I18" s="24"/>
      <c r="J18" s="11"/>
      <c r="K18" s="11"/>
      <c r="L18" s="11"/>
    </row>
    <row r="19" spans="2:12" x14ac:dyDescent="0.25">
      <c r="B19" s="4"/>
      <c r="C19" s="8" t="s">
        <v>17</v>
      </c>
      <c r="D19" s="22">
        <v>7880.2905600000004</v>
      </c>
      <c r="E19" s="21">
        <v>27977.491890000001</v>
      </c>
      <c r="F19" s="21">
        <v>42762.05747</v>
      </c>
      <c r="G19" s="21">
        <v>6129.6328199999998</v>
      </c>
      <c r="H19" s="23">
        <f>G19+F19+E19+D19</f>
        <v>84749.472739999997</v>
      </c>
      <c r="I19" s="24"/>
      <c r="J19" s="11">
        <v>1</v>
      </c>
      <c r="K19" s="11">
        <v>54309046.299999997</v>
      </c>
      <c r="L19" s="11"/>
    </row>
    <row r="20" spans="2:12" x14ac:dyDescent="0.25">
      <c r="B20" s="6"/>
      <c r="C20" s="8" t="s">
        <v>9</v>
      </c>
      <c r="D20" s="21">
        <v>124373.69828</v>
      </c>
      <c r="E20" s="21">
        <v>98108.140339999998</v>
      </c>
      <c r="F20" s="21">
        <v>107912.03999</v>
      </c>
      <c r="G20" s="21">
        <v>117224.69499</v>
      </c>
      <c r="H20" s="13">
        <f>G20+F20+E20+D20</f>
        <v>447618.5736</v>
      </c>
      <c r="I20" s="24"/>
      <c r="J20" s="11">
        <v>2</v>
      </c>
      <c r="K20" s="11">
        <v>47150005.210000001</v>
      </c>
      <c r="L20" s="11"/>
    </row>
    <row r="21" spans="2:12" x14ac:dyDescent="0.25">
      <c r="B21" s="6"/>
      <c r="C21" s="6"/>
      <c r="D21" s="20"/>
      <c r="E21" s="20"/>
      <c r="F21" s="20"/>
      <c r="G21" s="20"/>
      <c r="H21" s="13"/>
      <c r="I21" s="24"/>
      <c r="J21" s="11">
        <v>3</v>
      </c>
      <c r="K21" s="11">
        <v>41570701.509999998</v>
      </c>
      <c r="L21" s="11"/>
    </row>
    <row r="22" spans="2:12" ht="33" customHeight="1" x14ac:dyDescent="0.25">
      <c r="B22" s="50" t="s">
        <v>19</v>
      </c>
      <c r="C22" s="50"/>
      <c r="D22" s="15">
        <f>D24+D25</f>
        <v>20564.765220000001</v>
      </c>
      <c r="E22" s="15">
        <f>E24+E25</f>
        <v>128559.56964</v>
      </c>
      <c r="F22" s="15">
        <f>F24+F25</f>
        <v>0</v>
      </c>
      <c r="G22" s="15">
        <f>G24+G25</f>
        <v>0</v>
      </c>
      <c r="H22" s="13"/>
      <c r="I22" s="24"/>
      <c r="J22" s="11"/>
      <c r="K22" s="12">
        <f>K21+K20+K19</f>
        <v>143029753.01999998</v>
      </c>
      <c r="L22" s="11"/>
    </row>
    <row r="23" spans="2:12" x14ac:dyDescent="0.25">
      <c r="B23" s="6"/>
      <c r="C23" s="5" t="s">
        <v>0</v>
      </c>
      <c r="D23" s="21"/>
      <c r="E23" s="21"/>
      <c r="F23" s="21"/>
      <c r="G23" s="21"/>
      <c r="H23" s="13"/>
      <c r="I23" s="24"/>
      <c r="J23" s="11">
        <v>4</v>
      </c>
      <c r="K23" s="11">
        <v>35803776.869999997</v>
      </c>
      <c r="L23" s="11"/>
    </row>
    <row r="24" spans="2:12" x14ac:dyDescent="0.25">
      <c r="B24" s="6"/>
      <c r="C24" s="6" t="s">
        <v>10</v>
      </c>
      <c r="D24" s="21">
        <f>132</f>
        <v>132</v>
      </c>
      <c r="E24" s="21">
        <f>126085.63223+2473.93741-21247.8428-333.82685</f>
        <v>106977.89999000001</v>
      </c>
      <c r="F24" s="21"/>
      <c r="G24" s="21"/>
      <c r="H24" s="13"/>
      <c r="I24" s="24"/>
      <c r="J24" s="11">
        <v>5</v>
      </c>
      <c r="K24" s="11">
        <v>36747434.619999997</v>
      </c>
      <c r="L24" s="11"/>
    </row>
    <row r="25" spans="2:12" x14ac:dyDescent="0.25">
      <c r="B25" s="6"/>
      <c r="C25" s="9" t="s">
        <v>11</v>
      </c>
      <c r="D25" s="21">
        <f>20054.05213+378.71309</f>
        <v>20432.765220000001</v>
      </c>
      <c r="E25" s="21">
        <f>21247.8428+333.82685</f>
        <v>21581.66965</v>
      </c>
      <c r="F25" s="21"/>
      <c r="G25" s="21"/>
      <c r="H25" s="13"/>
      <c r="I25" s="24"/>
      <c r="J25" s="11">
        <v>6</v>
      </c>
      <c r="K25" s="11">
        <v>40273149.909999996</v>
      </c>
      <c r="L25" s="11"/>
    </row>
    <row r="26" spans="2:12" x14ac:dyDescent="0.25">
      <c r="B26" s="6"/>
      <c r="C26" s="6" t="s">
        <v>12</v>
      </c>
      <c r="D26" s="21"/>
      <c r="E26" s="21"/>
      <c r="F26" s="21"/>
      <c r="G26" s="21"/>
      <c r="H26" s="13"/>
      <c r="I26" s="24"/>
      <c r="J26" s="11"/>
      <c r="K26" s="12">
        <f>K25+K24+K23</f>
        <v>112824361.40000001</v>
      </c>
      <c r="L26" s="11"/>
    </row>
    <row r="27" spans="2:12" x14ac:dyDescent="0.25">
      <c r="B27" s="6"/>
      <c r="C27" s="6"/>
      <c r="D27" s="20"/>
      <c r="E27" s="20"/>
      <c r="F27" s="20"/>
      <c r="G27" s="20"/>
      <c r="H27" s="13"/>
      <c r="I27" s="24"/>
      <c r="J27" s="11">
        <v>7</v>
      </c>
      <c r="K27" s="11">
        <v>45058759.920000002</v>
      </c>
      <c r="L27" s="11"/>
    </row>
    <row r="28" spans="2:12" ht="30" customHeight="1" x14ac:dyDescent="0.25">
      <c r="B28" s="55" t="s">
        <v>20</v>
      </c>
      <c r="C28" s="55"/>
      <c r="D28" s="14"/>
      <c r="E28" s="14"/>
      <c r="F28" s="14"/>
      <c r="G28" s="14"/>
      <c r="H28" s="13"/>
      <c r="I28" s="24"/>
      <c r="J28" s="11">
        <v>8</v>
      </c>
      <c r="K28" s="11">
        <v>42319542.710000001</v>
      </c>
      <c r="L28" s="11"/>
    </row>
    <row r="29" spans="2:12" x14ac:dyDescent="0.25">
      <c r="B29" s="6"/>
      <c r="C29" s="5" t="s">
        <v>0</v>
      </c>
      <c r="D29" s="21"/>
      <c r="E29" s="21"/>
      <c r="F29" s="21"/>
      <c r="G29" s="21"/>
      <c r="H29" s="13"/>
      <c r="I29" s="24"/>
      <c r="J29" s="11">
        <v>9</v>
      </c>
      <c r="K29" s="11">
        <v>36720543.354000002</v>
      </c>
      <c r="L29" s="11"/>
    </row>
    <row r="30" spans="2:12" x14ac:dyDescent="0.25">
      <c r="B30" s="6"/>
      <c r="C30" s="6" t="s">
        <v>21</v>
      </c>
      <c r="D30" s="21"/>
      <c r="E30" s="21"/>
      <c r="F30" s="21"/>
      <c r="G30" s="21"/>
      <c r="H30" s="13"/>
      <c r="I30" s="24"/>
      <c r="J30" s="11"/>
      <c r="K30" s="12">
        <f>K29+K28+K27</f>
        <v>124098845.98400001</v>
      </c>
      <c r="L30" s="11"/>
    </row>
    <row r="31" spans="2:12" x14ac:dyDescent="0.25">
      <c r="B31" s="6"/>
      <c r="C31" s="6" t="s">
        <v>7</v>
      </c>
      <c r="D31" s="18"/>
      <c r="E31" s="18"/>
      <c r="F31" s="18"/>
      <c r="G31" s="18"/>
      <c r="H31" s="16"/>
      <c r="J31" s="11">
        <v>10</v>
      </c>
      <c r="K31" s="11">
        <v>33941320.740000002</v>
      </c>
      <c r="L31" s="11"/>
    </row>
    <row r="32" spans="2:12" x14ac:dyDescent="0.25">
      <c r="B32" s="6"/>
      <c r="C32" s="6" t="s">
        <v>21</v>
      </c>
      <c r="D32" s="18"/>
      <c r="E32" s="18"/>
      <c r="F32" s="18"/>
      <c r="G32" s="18"/>
      <c r="H32" s="16"/>
      <c r="J32" s="11">
        <v>11</v>
      </c>
      <c r="K32" s="11">
        <v>43113346.619999997</v>
      </c>
      <c r="L32" s="11"/>
    </row>
    <row r="33" spans="2:12" x14ac:dyDescent="0.25">
      <c r="B33" s="6"/>
      <c r="C33" s="6" t="s">
        <v>7</v>
      </c>
      <c r="D33" s="18"/>
      <c r="E33" s="18"/>
      <c r="F33" s="18"/>
      <c r="G33" s="18"/>
      <c r="H33" s="16"/>
      <c r="J33" s="11">
        <v>12</v>
      </c>
      <c r="K33" s="11">
        <v>57753731.880000003</v>
      </c>
      <c r="L33" s="11"/>
    </row>
    <row r="34" spans="2:12" x14ac:dyDescent="0.25">
      <c r="B34" s="6"/>
      <c r="C34" s="6" t="s">
        <v>7</v>
      </c>
      <c r="D34" s="18"/>
      <c r="E34" s="18"/>
      <c r="F34" s="18"/>
      <c r="G34" s="18"/>
      <c r="H34" s="16"/>
      <c r="J34" s="11"/>
      <c r="K34" s="12">
        <f>K33+K32+K31</f>
        <v>134808399.24000001</v>
      </c>
      <c r="L34" s="11"/>
    </row>
    <row r="35" spans="2:12" x14ac:dyDescent="0.25">
      <c r="B35" s="6"/>
      <c r="C35" s="6"/>
      <c r="D35" s="18"/>
      <c r="E35" s="18"/>
      <c r="F35" s="18"/>
      <c r="G35" s="18"/>
      <c r="H35" s="16"/>
      <c r="J35" s="11"/>
      <c r="K35" s="11"/>
      <c r="L35" s="11"/>
    </row>
    <row r="36" spans="2:12" x14ac:dyDescent="0.25">
      <c r="B36" s="6"/>
      <c r="C36" s="6"/>
      <c r="D36" s="18"/>
      <c r="E36" s="18"/>
      <c r="F36" s="18"/>
      <c r="G36" s="18"/>
      <c r="H36" s="16"/>
      <c r="J36" s="11"/>
      <c r="K36" s="13">
        <f>K34+K30+K26+K22</f>
        <v>514761359.64400005</v>
      </c>
      <c r="L36" s="11"/>
    </row>
    <row r="37" spans="2:12" x14ac:dyDescent="0.25">
      <c r="B37" s="6"/>
      <c r="C37" s="6"/>
      <c r="D37" s="18"/>
      <c r="E37" s="18"/>
      <c r="F37" s="18"/>
      <c r="G37" s="18"/>
      <c r="H37" s="16"/>
    </row>
    <row r="38" spans="2:12" x14ac:dyDescent="0.25">
      <c r="D38" s="16"/>
      <c r="E38" s="16"/>
      <c r="F38" s="16"/>
      <c r="G38" s="16"/>
      <c r="H38" s="16"/>
    </row>
    <row r="39" spans="2:12" ht="30" customHeight="1" x14ac:dyDescent="0.25">
      <c r="B39" s="52" t="s">
        <v>6</v>
      </c>
      <c r="C39" s="53"/>
      <c r="D39" s="17"/>
      <c r="E39" s="17"/>
      <c r="F39" s="17"/>
      <c r="G39" s="17"/>
      <c r="H39" s="16"/>
    </row>
    <row r="40" spans="2:12" x14ac:dyDescent="0.25">
      <c r="D40" s="16"/>
      <c r="E40" s="16"/>
      <c r="F40" s="16"/>
      <c r="G40" s="16"/>
      <c r="H40" s="16"/>
    </row>
    <row r="41" spans="2:12" x14ac:dyDescent="0.25">
      <c r="D41" s="16"/>
      <c r="E41" s="16"/>
      <c r="F41" s="16"/>
      <c r="G41" s="16"/>
      <c r="H41" s="16"/>
    </row>
  </sheetData>
  <mergeCells count="13">
    <mergeCell ref="B39:C39"/>
    <mergeCell ref="B10:C10"/>
    <mergeCell ref="B11:C11"/>
    <mergeCell ref="B13:C13"/>
    <mergeCell ref="B17:C17"/>
    <mergeCell ref="B22:C22"/>
    <mergeCell ref="B28:C28"/>
    <mergeCell ref="B8:C8"/>
    <mergeCell ref="A1:G1"/>
    <mergeCell ref="A2:G2"/>
    <mergeCell ref="B3:C4"/>
    <mergeCell ref="D3:G3"/>
    <mergeCell ref="B6:C6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25C-8C7B-4A83-AD25-B700F5001FCF}">
  <sheetPr>
    <tabColor rgb="FFFF0000"/>
  </sheetPr>
  <dimension ref="A1:I39"/>
  <sheetViews>
    <sheetView view="pageBreakPreview" topLeftCell="B1" zoomScale="110" zoomScaleNormal="110" zoomScaleSheetLayoutView="110" workbookViewId="0">
      <selection sqref="A1:G1"/>
    </sheetView>
  </sheetViews>
  <sheetFormatPr defaultRowHeight="15" x14ac:dyDescent="0.25"/>
  <cols>
    <col min="1" max="1" width="9.85546875" hidden="1" customWidth="1"/>
    <col min="2" max="2" width="3.5703125" customWidth="1"/>
    <col min="3" max="3" width="47.140625" customWidth="1"/>
    <col min="4" max="7" width="12.85546875" customWidth="1"/>
  </cols>
  <sheetData>
    <row r="1" spans="1:9" ht="33.75" customHeight="1" x14ac:dyDescent="0.25">
      <c r="A1" s="62" t="s">
        <v>45</v>
      </c>
      <c r="B1" s="62"/>
      <c r="C1" s="62"/>
      <c r="D1" s="62"/>
      <c r="E1" s="62"/>
      <c r="F1" s="62"/>
      <c r="G1" s="62"/>
    </row>
    <row r="2" spans="1:9" ht="41.25" customHeight="1" x14ac:dyDescent="0.25">
      <c r="A2" s="63" t="s">
        <v>24</v>
      </c>
      <c r="B2" s="63"/>
      <c r="C2" s="63"/>
      <c r="D2" s="63"/>
      <c r="E2" s="63"/>
      <c r="F2" s="63"/>
      <c r="G2" s="63"/>
    </row>
    <row r="3" spans="1:9" x14ac:dyDescent="0.25">
      <c r="B3" s="64"/>
      <c r="C3" s="64"/>
      <c r="D3" s="65" t="s">
        <v>25</v>
      </c>
      <c r="E3" s="65"/>
      <c r="F3" s="65"/>
      <c r="G3" s="65"/>
    </row>
    <row r="4" spans="1:9" ht="15" customHeight="1" x14ac:dyDescent="0.25">
      <c r="B4" s="64"/>
      <c r="C4" s="64"/>
      <c r="D4" s="27" t="s">
        <v>27</v>
      </c>
      <c r="E4" s="27" t="s">
        <v>28</v>
      </c>
      <c r="F4" s="27" t="s">
        <v>29</v>
      </c>
      <c r="G4" s="27" t="s">
        <v>30</v>
      </c>
    </row>
    <row r="5" spans="1:9" x14ac:dyDescent="0.25">
      <c r="B5" s="26"/>
      <c r="C5" s="26"/>
      <c r="D5" s="28"/>
      <c r="E5" s="28"/>
      <c r="F5" s="28"/>
      <c r="G5" s="28"/>
    </row>
    <row r="6" spans="1:9" ht="31.5" customHeight="1" x14ac:dyDescent="0.25">
      <c r="B6" s="60" t="s">
        <v>26</v>
      </c>
      <c r="C6" s="66"/>
      <c r="D6" s="29">
        <f>5075100332/1000000</f>
        <v>5075.100332</v>
      </c>
      <c r="E6" s="29">
        <f>5070324143/1000000</f>
        <v>5070.3241429999998</v>
      </c>
      <c r="F6" s="29">
        <f>5944821372/1000000</f>
        <v>5944.8213720000003</v>
      </c>
      <c r="G6" s="29">
        <f>4748820943/1000000</f>
        <v>4748.8209429999997</v>
      </c>
    </row>
    <row r="7" spans="1:9" x14ac:dyDescent="0.25">
      <c r="B7" s="30"/>
      <c r="C7" s="30"/>
      <c r="D7" s="31"/>
      <c r="E7" s="31"/>
      <c r="F7" s="31"/>
      <c r="G7" s="31"/>
    </row>
    <row r="8" spans="1:9" ht="21.75" customHeight="1" x14ac:dyDescent="0.25">
      <c r="B8" s="59" t="s">
        <v>31</v>
      </c>
      <c r="C8" s="59"/>
      <c r="D8" s="29">
        <f>D10+D11</f>
        <v>4872.6498949999996</v>
      </c>
      <c r="E8" s="29">
        <f>E10+E11</f>
        <v>4887.8400689999999</v>
      </c>
      <c r="F8" s="29">
        <f>F10+F11</f>
        <v>5720.9038610000007</v>
      </c>
      <c r="G8" s="29">
        <f>G10+G11</f>
        <v>4599.5976929999997</v>
      </c>
      <c r="H8" s="10"/>
      <c r="I8" s="10"/>
    </row>
    <row r="9" spans="1:9" x14ac:dyDescent="0.25">
      <c r="B9" s="30"/>
      <c r="C9" s="32" t="s">
        <v>32</v>
      </c>
      <c r="D9" s="33"/>
      <c r="E9" s="33"/>
      <c r="F9" s="33"/>
      <c r="G9" s="33"/>
      <c r="H9" s="10"/>
      <c r="I9" s="10"/>
    </row>
    <row r="10" spans="1:9" ht="15.75" customHeight="1" x14ac:dyDescent="0.25">
      <c r="B10" s="58" t="s">
        <v>36</v>
      </c>
      <c r="C10" s="58"/>
      <c r="D10" s="33">
        <f>4057032746/1000000</f>
        <v>4057.0327459999999</v>
      </c>
      <c r="E10" s="33">
        <f>3454178045/1000000</f>
        <v>3454.1780450000001</v>
      </c>
      <c r="F10" s="33">
        <f>3630990941/1000000</f>
        <v>3630.990941</v>
      </c>
      <c r="G10" s="33">
        <f>3913380292/1000000</f>
        <v>3913.3802919999998</v>
      </c>
      <c r="H10" s="10"/>
      <c r="I10" s="10"/>
    </row>
    <row r="11" spans="1:9" ht="15.75" customHeight="1" x14ac:dyDescent="0.25">
      <c r="B11" s="58" t="s">
        <v>33</v>
      </c>
      <c r="C11" s="58"/>
      <c r="D11" s="33">
        <f>815617149/1000000</f>
        <v>815.61714900000004</v>
      </c>
      <c r="E11" s="33">
        <f>1433662024/1000000</f>
        <v>1433.662024</v>
      </c>
      <c r="F11" s="33">
        <f>2089912920/1000000</f>
        <v>2089.9129200000002</v>
      </c>
      <c r="G11" s="33">
        <f>686217401/1000000</f>
        <v>686.217401</v>
      </c>
      <c r="H11" s="10"/>
      <c r="I11" s="10"/>
    </row>
    <row r="12" spans="1:9" ht="16.5" customHeight="1" x14ac:dyDescent="0.25">
      <c r="B12" s="30"/>
      <c r="C12" s="30"/>
      <c r="D12" s="31"/>
      <c r="E12" s="31"/>
      <c r="F12" s="31"/>
      <c r="G12" s="31"/>
      <c r="H12" s="10"/>
      <c r="I12" s="10"/>
    </row>
    <row r="13" spans="1:9" ht="31.5" customHeight="1" x14ac:dyDescent="0.25">
      <c r="B13" s="59" t="s">
        <v>37</v>
      </c>
      <c r="C13" s="59"/>
      <c r="D13" s="34">
        <v>2.56</v>
      </c>
      <c r="E13" s="34">
        <v>2.56</v>
      </c>
      <c r="F13" s="34">
        <v>2.56</v>
      </c>
      <c r="G13" s="34">
        <v>2.56</v>
      </c>
      <c r="H13" s="10"/>
      <c r="I13" s="10"/>
    </row>
    <row r="14" spans="1:9" ht="14.25" customHeight="1" x14ac:dyDescent="0.25">
      <c r="B14" s="30"/>
      <c r="C14" s="35" t="s">
        <v>34</v>
      </c>
      <c r="D14" s="34">
        <v>2.56</v>
      </c>
      <c r="E14" s="34">
        <v>2.56</v>
      </c>
      <c r="F14" s="34">
        <v>2.56</v>
      </c>
      <c r="G14" s="34">
        <v>2.56</v>
      </c>
      <c r="H14" s="10"/>
      <c r="I14" s="10"/>
    </row>
    <row r="15" spans="1:9" ht="14.25" customHeight="1" x14ac:dyDescent="0.25">
      <c r="B15" s="30"/>
      <c r="C15" s="35" t="s">
        <v>35</v>
      </c>
      <c r="D15" s="34">
        <v>2.56</v>
      </c>
      <c r="E15" s="34">
        <v>2.56</v>
      </c>
      <c r="F15" s="34">
        <v>2.56</v>
      </c>
      <c r="G15" s="34">
        <v>2.56</v>
      </c>
      <c r="H15" s="10"/>
      <c r="I15" s="10"/>
    </row>
    <row r="16" spans="1:9" x14ac:dyDescent="0.25">
      <c r="B16" s="32"/>
      <c r="C16" s="30"/>
      <c r="D16" s="31"/>
      <c r="E16" s="31"/>
      <c r="F16" s="31"/>
      <c r="G16" s="31"/>
      <c r="H16" s="10"/>
      <c r="I16" s="10"/>
    </row>
    <row r="17" spans="2:9" ht="33" customHeight="1" x14ac:dyDescent="0.25">
      <c r="B17" s="60" t="s">
        <v>38</v>
      </c>
      <c r="C17" s="60"/>
      <c r="D17" s="36">
        <f>D19+D20</f>
        <v>124.73983731199999</v>
      </c>
      <c r="E17" s="36">
        <f>E19+E20</f>
        <v>125.1287057664</v>
      </c>
      <c r="F17" s="36">
        <f>F19+F20</f>
        <v>146.45513884159999</v>
      </c>
      <c r="G17" s="36">
        <f>G19+G20</f>
        <v>117.7497009408</v>
      </c>
      <c r="H17" s="10"/>
      <c r="I17" s="10"/>
    </row>
    <row r="18" spans="2:9" x14ac:dyDescent="0.25">
      <c r="B18" s="37"/>
      <c r="C18" s="32" t="s">
        <v>32</v>
      </c>
      <c r="D18" s="33"/>
      <c r="E18" s="33"/>
      <c r="F18" s="33"/>
      <c r="G18" s="33"/>
      <c r="H18" s="10"/>
      <c r="I18" s="10"/>
    </row>
    <row r="19" spans="2:9" x14ac:dyDescent="0.25">
      <c r="B19" s="37"/>
      <c r="C19" s="35" t="s">
        <v>34</v>
      </c>
      <c r="D19" s="38">
        <f>(D11*D14)/100</f>
        <v>20.8797990144</v>
      </c>
      <c r="E19" s="38">
        <f>(E11*E14)/100</f>
        <v>36.701747814400001</v>
      </c>
      <c r="F19" s="38">
        <f>(F11*F14)/100</f>
        <v>53.501770751999999</v>
      </c>
      <c r="G19" s="38">
        <f>(G11*G14)/100</f>
        <v>17.567165465600002</v>
      </c>
      <c r="H19" s="10"/>
      <c r="I19" s="10"/>
    </row>
    <row r="20" spans="2:9" x14ac:dyDescent="0.25">
      <c r="B20" s="30"/>
      <c r="C20" s="35" t="s">
        <v>35</v>
      </c>
      <c r="D20" s="33">
        <f>(D10*D15)/100</f>
        <v>103.8600382976</v>
      </c>
      <c r="E20" s="33">
        <f>(E10*E15)/100</f>
        <v>88.426957952000009</v>
      </c>
      <c r="F20" s="33">
        <f>(F10*F15)/100</f>
        <v>92.953368089600005</v>
      </c>
      <c r="G20" s="33">
        <f>(G10*G15)/100</f>
        <v>100.1825354752</v>
      </c>
      <c r="H20" s="10"/>
      <c r="I20" s="10"/>
    </row>
    <row r="21" spans="2:9" x14ac:dyDescent="0.25">
      <c r="B21" s="30"/>
      <c r="C21" s="30"/>
      <c r="D21" s="31"/>
      <c r="E21" s="31"/>
      <c r="F21" s="31"/>
      <c r="G21" s="31"/>
      <c r="H21" s="10"/>
      <c r="I21" s="10"/>
    </row>
    <row r="22" spans="2:9" ht="33" customHeight="1" x14ac:dyDescent="0.25">
      <c r="B22" s="60" t="s">
        <v>39</v>
      </c>
      <c r="C22" s="60"/>
      <c r="D22" s="36">
        <f>D24+D25</f>
        <v>537.54592104999995</v>
      </c>
      <c r="E22" s="36">
        <f>E24+E25</f>
        <v>118.78224982999998</v>
      </c>
      <c r="F22" s="36">
        <f>F24+F25</f>
        <v>128.57480374000002</v>
      </c>
      <c r="G22" s="36">
        <f>G24+G25</f>
        <v>171.44608682</v>
      </c>
      <c r="H22" s="10"/>
      <c r="I22" s="10"/>
    </row>
    <row r="23" spans="2:9" x14ac:dyDescent="0.25">
      <c r="B23" s="30"/>
      <c r="C23" s="32" t="s">
        <v>32</v>
      </c>
      <c r="D23" s="33"/>
      <c r="E23" s="33"/>
      <c r="F23" s="33"/>
      <c r="G23" s="33"/>
      <c r="H23" s="10"/>
      <c r="I23" s="10"/>
    </row>
    <row r="24" spans="2:9" x14ac:dyDescent="0.25">
      <c r="B24" s="30"/>
      <c r="C24" s="30" t="s">
        <v>40</v>
      </c>
      <c r="D24" s="33">
        <f>(537545921.19-23406479.23-280221.91)/1000000</f>
        <v>513.85922004999998</v>
      </c>
      <c r="E24" s="33">
        <f>(118782249.49-21031789.2-318847.46)/1000000</f>
        <v>97.431612829999992</v>
      </c>
      <c r="F24" s="33">
        <f>(128574803.54-25787320.77-411028.03)/1000000</f>
        <v>102.37645474000001</v>
      </c>
      <c r="G24" s="33">
        <f>(171446087.08-17143706.62-315413.64)/1000000</f>
        <v>153.98696682000002</v>
      </c>
      <c r="H24" s="10"/>
      <c r="I24" s="10"/>
    </row>
    <row r="25" spans="2:9" x14ac:dyDescent="0.25">
      <c r="B25" s="30"/>
      <c r="C25" s="39" t="s">
        <v>41</v>
      </c>
      <c r="D25" s="33">
        <f>23686701/1000000</f>
        <v>23.686700999999999</v>
      </c>
      <c r="E25" s="33">
        <f>21350637/1000000</f>
        <v>21.350636999999999</v>
      </c>
      <c r="F25" s="33">
        <f>26198349/1000000</f>
        <v>26.198349</v>
      </c>
      <c r="G25" s="33">
        <f>17459120/1000000</f>
        <v>17.459119999999999</v>
      </c>
      <c r="H25" s="10"/>
      <c r="I25" s="10"/>
    </row>
    <row r="26" spans="2:9" x14ac:dyDescent="0.25">
      <c r="B26" s="30"/>
      <c r="C26" s="30" t="s">
        <v>42</v>
      </c>
      <c r="D26" s="33"/>
      <c r="E26" s="33"/>
      <c r="F26" s="33"/>
      <c r="G26" s="33"/>
      <c r="H26" s="10"/>
      <c r="I26" s="10"/>
    </row>
    <row r="27" spans="2:9" x14ac:dyDescent="0.25">
      <c r="B27" s="30"/>
      <c r="C27" s="30"/>
      <c r="D27" s="31"/>
      <c r="E27" s="31"/>
      <c r="F27" s="31"/>
      <c r="G27" s="31"/>
      <c r="H27" s="10"/>
      <c r="I27" s="10"/>
    </row>
    <row r="28" spans="2:9" ht="30" customHeight="1" x14ac:dyDescent="0.25">
      <c r="B28" s="61" t="s">
        <v>43</v>
      </c>
      <c r="C28" s="61"/>
      <c r="D28" s="29"/>
      <c r="E28" s="29"/>
      <c r="F28" s="29"/>
      <c r="G28" s="29"/>
      <c r="H28" s="10"/>
      <c r="I28" s="10"/>
    </row>
    <row r="29" spans="2:9" ht="30" customHeight="1" x14ac:dyDescent="0.25">
      <c r="B29" s="56" t="s">
        <v>44</v>
      </c>
      <c r="C29" s="57"/>
      <c r="D29" s="33"/>
      <c r="E29" s="33"/>
      <c r="F29" s="33"/>
      <c r="G29" s="33"/>
      <c r="H29" s="10"/>
      <c r="I29" s="10"/>
    </row>
    <row r="30" spans="2:9" x14ac:dyDescent="0.25">
      <c r="D30" s="33"/>
      <c r="E30" s="33"/>
      <c r="F30" s="33"/>
      <c r="G30" s="33"/>
      <c r="H30" s="10"/>
      <c r="I30" s="10"/>
    </row>
    <row r="31" spans="2:9" x14ac:dyDescent="0.25">
      <c r="D31" s="40"/>
      <c r="E31" s="40"/>
      <c r="F31" s="40"/>
      <c r="G31" s="40"/>
      <c r="H31" s="10"/>
      <c r="I31" s="10"/>
    </row>
    <row r="32" spans="2:9" x14ac:dyDescent="0.25">
      <c r="D32" s="40"/>
      <c r="E32" s="40"/>
      <c r="F32" s="40"/>
      <c r="G32" s="40"/>
    </row>
    <row r="33" spans="4:7" x14ac:dyDescent="0.25">
      <c r="D33" s="40"/>
      <c r="E33" s="40"/>
      <c r="F33" s="40"/>
      <c r="G33" s="40"/>
    </row>
    <row r="34" spans="4:7" x14ac:dyDescent="0.25">
      <c r="D34" s="40"/>
      <c r="E34" s="40"/>
      <c r="F34" s="40"/>
      <c r="G34" s="40"/>
    </row>
    <row r="35" spans="4:7" x14ac:dyDescent="0.25">
      <c r="D35" s="40"/>
      <c r="E35" s="40"/>
      <c r="F35" s="40"/>
      <c r="G35" s="40"/>
    </row>
    <row r="36" spans="4:7" x14ac:dyDescent="0.25">
      <c r="D36" s="40"/>
      <c r="E36" s="40"/>
      <c r="F36" s="40"/>
      <c r="G36" s="40"/>
    </row>
    <row r="37" spans="4:7" x14ac:dyDescent="0.25">
      <c r="D37" s="40"/>
      <c r="E37" s="40"/>
      <c r="F37" s="40"/>
      <c r="G37" s="40"/>
    </row>
    <row r="38" spans="4:7" x14ac:dyDescent="0.25">
      <c r="D38" s="41"/>
      <c r="E38" s="41"/>
      <c r="F38" s="41"/>
      <c r="G38" s="41"/>
    </row>
    <row r="39" spans="4:7" x14ac:dyDescent="0.25">
      <c r="D39" s="42">
        <f>D17-D22</f>
        <v>-412.80608373799998</v>
      </c>
      <c r="E39" s="42">
        <f>E17-E22</f>
        <v>6.3464559364000195</v>
      </c>
      <c r="F39" s="42">
        <f>F17-F22</f>
        <v>17.880335101599968</v>
      </c>
      <c r="G39" s="42">
        <f>G17-G22</f>
        <v>-53.696385879200008</v>
      </c>
    </row>
  </sheetData>
  <mergeCells count="13">
    <mergeCell ref="B8:C8"/>
    <mergeCell ref="A1:G1"/>
    <mergeCell ref="A2:G2"/>
    <mergeCell ref="B3:C4"/>
    <mergeCell ref="D3:G3"/>
    <mergeCell ref="B6:C6"/>
    <mergeCell ref="B29:C29"/>
    <mergeCell ref="B10:C10"/>
    <mergeCell ref="B11:C11"/>
    <mergeCell ref="B13:C13"/>
    <mergeCell ref="B17:C17"/>
    <mergeCell ref="B22:C22"/>
    <mergeCell ref="B28:C28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0589F-08CE-4566-94E7-70C1028EE7F8}">
  <sheetPr>
    <tabColor rgb="FFFF0000"/>
  </sheetPr>
  <dimension ref="A1:I31"/>
  <sheetViews>
    <sheetView view="pageBreakPreview" topLeftCell="B1" zoomScale="110" zoomScaleNormal="110" zoomScaleSheetLayoutView="110" workbookViewId="0">
      <selection activeCell="E6" sqref="E6"/>
    </sheetView>
  </sheetViews>
  <sheetFormatPr defaultRowHeight="15" x14ac:dyDescent="0.25"/>
  <cols>
    <col min="1" max="1" width="9.85546875" hidden="1" customWidth="1"/>
    <col min="2" max="2" width="3.5703125" customWidth="1"/>
    <col min="3" max="3" width="47.140625" customWidth="1"/>
    <col min="4" max="7" width="12.85546875" customWidth="1"/>
  </cols>
  <sheetData>
    <row r="1" spans="1:9" ht="33.75" customHeight="1" x14ac:dyDescent="0.25">
      <c r="A1" s="62" t="s">
        <v>46</v>
      </c>
      <c r="B1" s="62"/>
      <c r="C1" s="62"/>
      <c r="D1" s="62"/>
      <c r="E1" s="62"/>
      <c r="F1" s="62"/>
      <c r="G1" s="62"/>
    </row>
    <row r="2" spans="1:9" ht="41.25" customHeight="1" x14ac:dyDescent="0.25">
      <c r="A2" s="63" t="s">
        <v>24</v>
      </c>
      <c r="B2" s="63"/>
      <c r="C2" s="63"/>
      <c r="D2" s="63"/>
      <c r="E2" s="63"/>
      <c r="F2" s="63"/>
      <c r="G2" s="63"/>
    </row>
    <row r="3" spans="1:9" x14ac:dyDescent="0.25">
      <c r="B3" s="64"/>
      <c r="C3" s="64"/>
      <c r="D3" s="65" t="s">
        <v>25</v>
      </c>
      <c r="E3" s="65"/>
      <c r="F3" s="65"/>
      <c r="G3" s="65"/>
    </row>
    <row r="4" spans="1:9" ht="15" customHeight="1" x14ac:dyDescent="0.25">
      <c r="B4" s="64"/>
      <c r="C4" s="64"/>
      <c r="D4" s="27" t="s">
        <v>27</v>
      </c>
      <c r="E4" s="27" t="s">
        <v>28</v>
      </c>
      <c r="F4" s="27" t="s">
        <v>29</v>
      </c>
      <c r="G4" s="27" t="s">
        <v>30</v>
      </c>
    </row>
    <row r="5" spans="1:9" x14ac:dyDescent="0.25">
      <c r="B5" s="26"/>
      <c r="C5" s="26"/>
      <c r="D5" s="28"/>
      <c r="E5" s="28"/>
      <c r="F5" s="28"/>
      <c r="G5" s="28"/>
    </row>
    <row r="6" spans="1:9" ht="31.5" customHeight="1" x14ac:dyDescent="0.25">
      <c r="B6" s="60" t="s">
        <v>26</v>
      </c>
      <c r="C6" s="66"/>
      <c r="D6" s="29">
        <f>5340810458/1000000</f>
        <v>5340.8104579999999</v>
      </c>
      <c r="E6" s="29">
        <f>5109678724/1000000</f>
        <v>5109.6787240000003</v>
      </c>
      <c r="F6" s="29">
        <f>6110642634/1000000</f>
        <v>6110.6426339999998</v>
      </c>
      <c r="G6" s="29">
        <f>4992293710/1000000</f>
        <v>4992.2937099999999</v>
      </c>
    </row>
    <row r="7" spans="1:9" x14ac:dyDescent="0.25">
      <c r="B7" s="30"/>
      <c r="C7" s="30"/>
      <c r="D7" s="31"/>
      <c r="E7" s="31"/>
      <c r="F7" s="31"/>
      <c r="G7" s="31"/>
    </row>
    <row r="8" spans="1:9" ht="21.75" customHeight="1" x14ac:dyDescent="0.25">
      <c r="B8" s="59" t="s">
        <v>31</v>
      </c>
      <c r="C8" s="59"/>
      <c r="D8" s="29">
        <f>D10+D11</f>
        <v>5166.1714389999997</v>
      </c>
      <c r="E8" s="29">
        <f>E10+E11</f>
        <v>4925.2200090000006</v>
      </c>
      <c r="F8" s="29">
        <f>F10+F11</f>
        <v>5885.7069320000001</v>
      </c>
      <c r="G8" s="29">
        <f>G10+G11</f>
        <v>4818.5284300000003</v>
      </c>
      <c r="H8" s="10"/>
      <c r="I8" s="10"/>
    </row>
    <row r="9" spans="1:9" x14ac:dyDescent="0.25">
      <c r="B9" s="30"/>
      <c r="C9" s="32" t="s">
        <v>32</v>
      </c>
      <c r="D9" s="33"/>
      <c r="E9" s="33"/>
      <c r="F9" s="33"/>
      <c r="G9" s="33"/>
      <c r="H9" s="10"/>
      <c r="I9" s="10"/>
    </row>
    <row r="10" spans="1:9" ht="15.75" customHeight="1" x14ac:dyDescent="0.25">
      <c r="B10" s="58" t="s">
        <v>36</v>
      </c>
      <c r="C10" s="58"/>
      <c r="D10" s="33">
        <f>4858347589/1000000</f>
        <v>4858.347589</v>
      </c>
      <c r="E10" s="33">
        <f>3832349232/1000000</f>
        <v>3832.349232</v>
      </c>
      <c r="F10" s="33">
        <f>4215314062/1000000</f>
        <v>4215.3140620000004</v>
      </c>
      <c r="G10" s="33">
        <f>4579089648/1000000</f>
        <v>4579.0896480000001</v>
      </c>
      <c r="H10" s="10"/>
      <c r="I10" s="10"/>
    </row>
    <row r="11" spans="1:9" ht="15.75" customHeight="1" x14ac:dyDescent="0.25">
      <c r="B11" s="58" t="s">
        <v>33</v>
      </c>
      <c r="C11" s="58"/>
      <c r="D11" s="33">
        <f>307823850/1000000</f>
        <v>307.82384999999999</v>
      </c>
      <c r="E11" s="33">
        <f>1092870777/1000000</f>
        <v>1092.8707770000001</v>
      </c>
      <c r="F11" s="33">
        <f>1670392870/1000000</f>
        <v>1670.3928699999999</v>
      </c>
      <c r="G11" s="33">
        <f>239438782/1000000</f>
        <v>239.438782</v>
      </c>
      <c r="H11" s="10"/>
      <c r="I11" s="10"/>
    </row>
    <row r="12" spans="1:9" ht="16.5" customHeight="1" x14ac:dyDescent="0.25">
      <c r="B12" s="30"/>
      <c r="C12" s="30"/>
      <c r="D12" s="31"/>
      <c r="E12" s="31"/>
      <c r="F12" s="31"/>
      <c r="G12" s="31"/>
      <c r="H12" s="10"/>
      <c r="I12" s="10"/>
    </row>
    <row r="13" spans="1:9" ht="31.5" customHeight="1" x14ac:dyDescent="0.25">
      <c r="B13" s="59" t="s">
        <v>37</v>
      </c>
      <c r="C13" s="59"/>
      <c r="D13" s="34">
        <v>2.56</v>
      </c>
      <c r="E13" s="34">
        <v>2.56</v>
      </c>
      <c r="F13" s="34">
        <v>2.56</v>
      </c>
      <c r="G13" s="34">
        <v>2.56</v>
      </c>
      <c r="H13" s="10"/>
      <c r="I13" s="10"/>
    </row>
    <row r="14" spans="1:9" ht="14.25" customHeight="1" x14ac:dyDescent="0.25">
      <c r="B14" s="30"/>
      <c r="C14" s="35" t="s">
        <v>34</v>
      </c>
      <c r="D14" s="34">
        <v>2.56</v>
      </c>
      <c r="E14" s="34">
        <v>2.56</v>
      </c>
      <c r="F14" s="34">
        <v>2.56</v>
      </c>
      <c r="G14" s="34">
        <v>2.56</v>
      </c>
      <c r="H14" s="10"/>
      <c r="I14" s="10"/>
    </row>
    <row r="15" spans="1:9" ht="14.25" customHeight="1" x14ac:dyDescent="0.25">
      <c r="B15" s="30"/>
      <c r="C15" s="35" t="s">
        <v>35</v>
      </c>
      <c r="D15" s="34">
        <v>2.56</v>
      </c>
      <c r="E15" s="34">
        <v>2.56</v>
      </c>
      <c r="F15" s="34">
        <v>2.56</v>
      </c>
      <c r="G15" s="34">
        <v>2.56</v>
      </c>
      <c r="H15" s="10"/>
      <c r="I15" s="10"/>
    </row>
    <row r="16" spans="1:9" x14ac:dyDescent="0.25">
      <c r="B16" s="32"/>
      <c r="C16" s="30"/>
      <c r="D16" s="31"/>
      <c r="E16" s="31"/>
      <c r="F16" s="31"/>
      <c r="G16" s="31"/>
      <c r="H16" s="10"/>
      <c r="I16" s="10"/>
    </row>
    <row r="17" spans="2:9" ht="33" customHeight="1" x14ac:dyDescent="0.25">
      <c r="B17" s="60" t="s">
        <v>38</v>
      </c>
      <c r="C17" s="60"/>
      <c r="D17" s="36">
        <f>D19+D20</f>
        <v>132.25398883840001</v>
      </c>
      <c r="E17" s="36">
        <f>E19+E20</f>
        <v>126.08563223040001</v>
      </c>
      <c r="F17" s="36">
        <f>F19+F20</f>
        <v>150.6740974592</v>
      </c>
      <c r="G17" s="36">
        <f>G19+G20</f>
        <v>123.35432780799999</v>
      </c>
      <c r="H17" s="10"/>
      <c r="I17" s="10"/>
    </row>
    <row r="18" spans="2:9" x14ac:dyDescent="0.25">
      <c r="B18" s="37"/>
      <c r="C18" s="32" t="s">
        <v>32</v>
      </c>
      <c r="D18" s="33"/>
      <c r="E18" s="33"/>
      <c r="F18" s="33"/>
      <c r="G18" s="33"/>
      <c r="H18" s="10"/>
      <c r="I18" s="10"/>
    </row>
    <row r="19" spans="2:9" x14ac:dyDescent="0.25">
      <c r="B19" s="37"/>
      <c r="C19" s="35" t="s">
        <v>34</v>
      </c>
      <c r="D19" s="38">
        <f>(D11*D14)/100</f>
        <v>7.8802905599999997</v>
      </c>
      <c r="E19" s="38">
        <f>(E11*E14)/100</f>
        <v>27.977491891200003</v>
      </c>
      <c r="F19" s="38">
        <f>(F11*F14)/100</f>
        <v>42.762057471999995</v>
      </c>
      <c r="G19" s="38">
        <f>(G11*G14)/100</f>
        <v>6.1296328192000002</v>
      </c>
      <c r="H19" s="10"/>
      <c r="I19" s="10"/>
    </row>
    <row r="20" spans="2:9" x14ac:dyDescent="0.25">
      <c r="B20" s="30"/>
      <c r="C20" s="35" t="s">
        <v>35</v>
      </c>
      <c r="D20" s="33">
        <f>(D10*D15)/100</f>
        <v>124.37369827840001</v>
      </c>
      <c r="E20" s="33">
        <f>(E10*E15)/100</f>
        <v>98.108140339200006</v>
      </c>
      <c r="F20" s="33">
        <f>(F10*F15)/100</f>
        <v>107.9120399872</v>
      </c>
      <c r="G20" s="33">
        <f>(G10*G15)/100</f>
        <v>117.2246949888</v>
      </c>
      <c r="H20" s="10"/>
      <c r="I20" s="10"/>
    </row>
    <row r="21" spans="2:9" x14ac:dyDescent="0.25">
      <c r="B21" s="30"/>
      <c r="C21" s="30"/>
      <c r="D21" s="31"/>
      <c r="E21" s="31"/>
      <c r="F21" s="31"/>
      <c r="G21" s="31"/>
      <c r="H21" s="10"/>
      <c r="I21" s="10"/>
    </row>
    <row r="22" spans="2:9" ht="33" customHeight="1" x14ac:dyDescent="0.25">
      <c r="B22" s="60" t="s">
        <v>39</v>
      </c>
      <c r="C22" s="60"/>
      <c r="D22" s="36">
        <f>D24+D25</f>
        <v>119.16464573</v>
      </c>
      <c r="E22" s="36">
        <f>E24+E25</f>
        <v>124.46862785000002</v>
      </c>
      <c r="F22" s="36">
        <f>F24+F25</f>
        <v>126.21917534000002</v>
      </c>
      <c r="G22" s="36">
        <f>G24+G25</f>
        <v>309.51729253000002</v>
      </c>
      <c r="H22" s="10"/>
      <c r="I22" s="10"/>
    </row>
    <row r="23" spans="2:9" x14ac:dyDescent="0.25">
      <c r="B23" s="30"/>
      <c r="C23" s="32" t="s">
        <v>32</v>
      </c>
      <c r="D23" s="33"/>
      <c r="E23" s="33"/>
      <c r="F23" s="33"/>
      <c r="G23" s="33"/>
      <c r="H23" s="10"/>
      <c r="I23" s="10"/>
    </row>
    <row r="24" spans="2:9" x14ac:dyDescent="0.25">
      <c r="B24" s="30"/>
      <c r="C24" s="30" t="s">
        <v>40</v>
      </c>
      <c r="D24" s="33">
        <f>(119164645.95-20054052.13-378713.09)/1000000</f>
        <v>98.73188073</v>
      </c>
      <c r="E24" s="33">
        <f>(124468627.5-21247842.8-333826.85)/1000000</f>
        <v>102.88695785000002</v>
      </c>
      <c r="F24" s="33">
        <f>(141945649.49-41652255.38-391695.77)/1000000</f>
        <v>99.901698340000024</v>
      </c>
      <c r="G24" s="33">
        <f>(311377816.29-21861290.24-329771.52)/1000000</f>
        <v>289.18675453000003</v>
      </c>
      <c r="H24" s="10"/>
      <c r="I24" s="10"/>
    </row>
    <row r="25" spans="2:9" x14ac:dyDescent="0.25">
      <c r="B25" s="30"/>
      <c r="C25" s="39" t="s">
        <v>41</v>
      </c>
      <c r="D25" s="33">
        <f>20432765/1000000</f>
        <v>20.432765</v>
      </c>
      <c r="E25" s="33">
        <f>21581670/1000000</f>
        <v>21.581669999999999</v>
      </c>
      <c r="F25" s="33">
        <f>26317477/1000000</f>
        <v>26.317477</v>
      </c>
      <c r="G25" s="33">
        <f>20330538/1000000</f>
        <v>20.330538000000001</v>
      </c>
      <c r="H25" s="10"/>
      <c r="I25" s="10"/>
    </row>
    <row r="26" spans="2:9" x14ac:dyDescent="0.25">
      <c r="B26" s="30"/>
      <c r="C26" s="30" t="s">
        <v>42</v>
      </c>
      <c r="D26" s="33"/>
      <c r="E26" s="33"/>
      <c r="F26" s="33"/>
      <c r="G26" s="33"/>
      <c r="H26" s="10"/>
      <c r="I26" s="10"/>
    </row>
    <row r="27" spans="2:9" x14ac:dyDescent="0.25">
      <c r="B27" s="30"/>
      <c r="C27" s="30"/>
      <c r="D27" s="31"/>
      <c r="E27" s="31"/>
      <c r="F27" s="31"/>
      <c r="G27" s="31"/>
      <c r="H27" s="10"/>
      <c r="I27" s="10"/>
    </row>
    <row r="28" spans="2:9" ht="30" customHeight="1" x14ac:dyDescent="0.25">
      <c r="B28" s="61" t="s">
        <v>43</v>
      </c>
      <c r="C28" s="61"/>
      <c r="D28" s="29"/>
      <c r="E28" s="29"/>
      <c r="F28" s="29"/>
      <c r="G28" s="29"/>
      <c r="H28" s="10"/>
      <c r="I28" s="10"/>
    </row>
    <row r="29" spans="2:9" ht="30" customHeight="1" x14ac:dyDescent="0.25">
      <c r="B29" s="56" t="s">
        <v>44</v>
      </c>
      <c r="C29" s="57"/>
      <c r="D29" s="42">
        <f>D17-D22</f>
        <v>13.089343108400001</v>
      </c>
      <c r="E29" s="42">
        <f>E17-E22</f>
        <v>1.6170043803999903</v>
      </c>
      <c r="F29" s="42">
        <f>F17-F22</f>
        <v>24.454922119199978</v>
      </c>
      <c r="G29" s="42">
        <f>G17-G22</f>
        <v>-186.16296472200003</v>
      </c>
      <c r="H29" s="10"/>
      <c r="I29" s="10"/>
    </row>
    <row r="30" spans="2:9" x14ac:dyDescent="0.25">
      <c r="D30" s="16"/>
      <c r="E30" s="16"/>
      <c r="F30" s="16"/>
      <c r="G30" s="16"/>
      <c r="H30" s="10"/>
      <c r="I30" s="10"/>
    </row>
    <row r="31" spans="2:9" x14ac:dyDescent="0.25">
      <c r="D31" s="16"/>
      <c r="E31" s="16"/>
      <c r="F31" s="16"/>
      <c r="G31" s="16"/>
      <c r="H31" s="10"/>
      <c r="I31" s="10"/>
    </row>
  </sheetData>
  <mergeCells count="13">
    <mergeCell ref="B8:C8"/>
    <mergeCell ref="A1:G1"/>
    <mergeCell ref="A2:G2"/>
    <mergeCell ref="B3:C4"/>
    <mergeCell ref="D3:G3"/>
    <mergeCell ref="B6:C6"/>
    <mergeCell ref="B29:C29"/>
    <mergeCell ref="B10:C10"/>
    <mergeCell ref="B11:C11"/>
    <mergeCell ref="B13:C13"/>
    <mergeCell ref="B17:C17"/>
    <mergeCell ref="B22:C22"/>
    <mergeCell ref="B28:C28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54F26-C514-4314-B5B2-46DDAF9F84EB}">
  <sheetPr>
    <tabColor rgb="FFFF0000"/>
  </sheetPr>
  <dimension ref="A1:I31"/>
  <sheetViews>
    <sheetView view="pageBreakPreview" topLeftCell="B1" zoomScale="110" zoomScaleNormal="110" zoomScaleSheetLayoutView="110" workbookViewId="0">
      <selection activeCell="D22" sqref="D22"/>
    </sheetView>
  </sheetViews>
  <sheetFormatPr defaultRowHeight="15" x14ac:dyDescent="0.25"/>
  <cols>
    <col min="1" max="1" width="9.85546875" hidden="1" customWidth="1"/>
    <col min="2" max="2" width="3.5703125" customWidth="1"/>
    <col min="3" max="3" width="47.140625" customWidth="1"/>
    <col min="4" max="7" width="12.85546875" customWidth="1"/>
  </cols>
  <sheetData>
    <row r="1" spans="1:9" ht="33.75" customHeight="1" x14ac:dyDescent="0.25">
      <c r="A1" s="62" t="s">
        <v>47</v>
      </c>
      <c r="B1" s="62"/>
      <c r="C1" s="62"/>
      <c r="D1" s="62"/>
      <c r="E1" s="62"/>
      <c r="F1" s="62"/>
      <c r="G1" s="62"/>
    </row>
    <row r="2" spans="1:9" ht="41.25" customHeight="1" x14ac:dyDescent="0.25">
      <c r="A2" s="63" t="s">
        <v>24</v>
      </c>
      <c r="B2" s="63"/>
      <c r="C2" s="63"/>
      <c r="D2" s="63"/>
      <c r="E2" s="63"/>
      <c r="F2" s="63"/>
      <c r="G2" s="63"/>
    </row>
    <row r="3" spans="1:9" x14ac:dyDescent="0.25">
      <c r="B3" s="64"/>
      <c r="C3" s="64"/>
      <c r="D3" s="65" t="s">
        <v>25</v>
      </c>
      <c r="E3" s="65"/>
      <c r="F3" s="65"/>
      <c r="G3" s="65"/>
    </row>
    <row r="4" spans="1:9" ht="15" customHeight="1" x14ac:dyDescent="0.25">
      <c r="B4" s="64"/>
      <c r="C4" s="64"/>
      <c r="D4" s="27" t="s">
        <v>27</v>
      </c>
      <c r="E4" s="27" t="s">
        <v>28</v>
      </c>
      <c r="F4" s="27" t="s">
        <v>29</v>
      </c>
      <c r="G4" s="27" t="s">
        <v>30</v>
      </c>
    </row>
    <row r="5" spans="1:9" x14ac:dyDescent="0.25">
      <c r="B5" s="26"/>
      <c r="C5" s="26"/>
      <c r="D5" s="28"/>
      <c r="E5" s="28"/>
      <c r="F5" s="28"/>
      <c r="G5" s="28"/>
    </row>
    <row r="6" spans="1:9" ht="31.5" customHeight="1" x14ac:dyDescent="0.25">
      <c r="B6" s="60" t="s">
        <v>26</v>
      </c>
      <c r="C6" s="66"/>
      <c r="D6" s="29">
        <f>5399182527/1000000</f>
        <v>5399.1825269999999</v>
      </c>
      <c r="E6" s="29">
        <f>5451242364/1000000</f>
        <v>5451.2423639999997</v>
      </c>
      <c r="F6" s="29">
        <f>6629662107/1000000</f>
        <v>6629.6621070000001</v>
      </c>
      <c r="G6" s="29">
        <f>4685002682/1000000</f>
        <v>4685.0026820000003</v>
      </c>
    </row>
    <row r="7" spans="1:9" x14ac:dyDescent="0.25">
      <c r="B7" s="30"/>
      <c r="C7" s="30"/>
      <c r="D7" s="31"/>
      <c r="E7" s="31"/>
      <c r="F7" s="31"/>
      <c r="G7" s="31"/>
    </row>
    <row r="8" spans="1:9" ht="21.75" customHeight="1" x14ac:dyDescent="0.25">
      <c r="B8" s="59" t="s">
        <v>31</v>
      </c>
      <c r="C8" s="59"/>
      <c r="D8" s="29">
        <f>D10+D11</f>
        <v>5215.9783639999996</v>
      </c>
      <c r="E8" s="29">
        <f>E10+E11</f>
        <v>5252.1767170000003</v>
      </c>
      <c r="F8" s="29">
        <f>F10+F11</f>
        <v>6391.0835740000002</v>
      </c>
      <c r="G8" s="29">
        <f>G10+G11</f>
        <v>4531.3592509999999</v>
      </c>
      <c r="H8" s="10"/>
      <c r="I8" s="10"/>
    </row>
    <row r="9" spans="1:9" x14ac:dyDescent="0.25">
      <c r="B9" s="30"/>
      <c r="C9" s="32" t="s">
        <v>32</v>
      </c>
      <c r="D9" s="33"/>
      <c r="E9" s="33"/>
      <c r="F9" s="33"/>
      <c r="G9" s="33"/>
      <c r="H9" s="10"/>
      <c r="I9" s="10"/>
    </row>
    <row r="10" spans="1:9" ht="15.75" customHeight="1" x14ac:dyDescent="0.25">
      <c r="B10" s="58" t="s">
        <v>36</v>
      </c>
      <c r="C10" s="58"/>
      <c r="D10" s="33">
        <f>4903175369/1000000</f>
        <v>4903.1753689999996</v>
      </c>
      <c r="E10" s="33">
        <f>4184636563/1000000</f>
        <v>4184.636563</v>
      </c>
      <c r="F10" s="33">
        <f>4418577735/1000000</f>
        <v>4418.5777349999998</v>
      </c>
      <c r="G10" s="33">
        <f>4298429595/1000000</f>
        <v>4298.4295949999996</v>
      </c>
      <c r="H10" s="10"/>
      <c r="I10" s="10"/>
    </row>
    <row r="11" spans="1:9" ht="15.75" customHeight="1" x14ac:dyDescent="0.25">
      <c r="B11" s="58" t="s">
        <v>33</v>
      </c>
      <c r="C11" s="58"/>
      <c r="D11" s="33">
        <f>312802995/1000000</f>
        <v>312.80299500000001</v>
      </c>
      <c r="E11" s="33">
        <f>1067540154/1000000</f>
        <v>1067.540154</v>
      </c>
      <c r="F11" s="33">
        <f>1972505839/1000000</f>
        <v>1972.5058389999999</v>
      </c>
      <c r="G11" s="33">
        <f>232929656/1000000</f>
        <v>232.92965599999999</v>
      </c>
      <c r="H11" s="10"/>
      <c r="I11" s="10"/>
    </row>
    <row r="12" spans="1:9" ht="16.5" customHeight="1" x14ac:dyDescent="0.25">
      <c r="B12" s="30"/>
      <c r="C12" s="30"/>
      <c r="D12" s="31"/>
      <c r="E12" s="31"/>
      <c r="F12" s="31"/>
      <c r="G12" s="31"/>
      <c r="H12" s="10"/>
      <c r="I12" s="10"/>
    </row>
    <row r="13" spans="1:9" ht="31.5" customHeight="1" x14ac:dyDescent="0.25">
      <c r="B13" s="59" t="s">
        <v>37</v>
      </c>
      <c r="C13" s="59"/>
      <c r="D13" s="34">
        <v>2.9</v>
      </c>
      <c r="E13" s="34">
        <v>2.9</v>
      </c>
      <c r="F13" s="34">
        <v>2.9</v>
      </c>
      <c r="G13" s="34">
        <v>2.9</v>
      </c>
      <c r="H13" s="10"/>
      <c r="I13" s="10"/>
    </row>
    <row r="14" spans="1:9" ht="14.25" customHeight="1" x14ac:dyDescent="0.25">
      <c r="B14" s="30"/>
      <c r="C14" s="35" t="s">
        <v>34</v>
      </c>
      <c r="D14" s="34">
        <v>2.9</v>
      </c>
      <c r="E14" s="34">
        <v>2.9</v>
      </c>
      <c r="F14" s="34">
        <v>2.9</v>
      </c>
      <c r="G14" s="34">
        <v>2.9</v>
      </c>
      <c r="H14" s="10"/>
      <c r="I14" s="10"/>
    </row>
    <row r="15" spans="1:9" ht="14.25" customHeight="1" x14ac:dyDescent="0.25">
      <c r="B15" s="30"/>
      <c r="C15" s="35" t="s">
        <v>35</v>
      </c>
      <c r="D15" s="34">
        <v>2.9</v>
      </c>
      <c r="E15" s="34">
        <v>2.9</v>
      </c>
      <c r="F15" s="34">
        <v>2.9</v>
      </c>
      <c r="G15" s="34">
        <v>2.9</v>
      </c>
      <c r="H15" s="10"/>
      <c r="I15" s="10"/>
    </row>
    <row r="16" spans="1:9" x14ac:dyDescent="0.25">
      <c r="B16" s="32"/>
      <c r="C16" s="30"/>
      <c r="D16" s="31"/>
      <c r="E16" s="31"/>
      <c r="F16" s="31"/>
      <c r="G16" s="31"/>
      <c r="H16" s="10"/>
      <c r="I16" s="10"/>
    </row>
    <row r="17" spans="2:9" ht="33" customHeight="1" x14ac:dyDescent="0.25">
      <c r="B17" s="60" t="s">
        <v>38</v>
      </c>
      <c r="C17" s="60"/>
      <c r="D17" s="36">
        <f>D19+D20</f>
        <v>151.26337255599998</v>
      </c>
      <c r="E17" s="36">
        <f>E19+E20</f>
        <v>152.31312479299999</v>
      </c>
      <c r="F17" s="36">
        <f>F19+F20</f>
        <v>185.34142364600001</v>
      </c>
      <c r="G17" s="36">
        <f>G19+G20</f>
        <v>131.40941827899999</v>
      </c>
      <c r="H17" s="10"/>
      <c r="I17" s="10"/>
    </row>
    <row r="18" spans="2:9" x14ac:dyDescent="0.25">
      <c r="B18" s="37"/>
      <c r="C18" s="32" t="s">
        <v>32</v>
      </c>
      <c r="D18" s="33"/>
      <c r="E18" s="33"/>
      <c r="F18" s="33"/>
      <c r="G18" s="33"/>
      <c r="H18" s="10"/>
      <c r="I18" s="10"/>
    </row>
    <row r="19" spans="2:9" x14ac:dyDescent="0.25">
      <c r="B19" s="37"/>
      <c r="C19" s="35" t="s">
        <v>34</v>
      </c>
      <c r="D19" s="38">
        <f>(D11*D14)/100</f>
        <v>9.0712868550000003</v>
      </c>
      <c r="E19" s="38">
        <f t="shared" ref="E19:G19" si="0">(E11*E14)/100</f>
        <v>30.958664466000002</v>
      </c>
      <c r="F19" s="38">
        <f t="shared" si="0"/>
        <v>57.202669330999996</v>
      </c>
      <c r="G19" s="38">
        <f t="shared" si="0"/>
        <v>6.7549600239999998</v>
      </c>
      <c r="H19" s="10"/>
      <c r="I19" s="10"/>
    </row>
    <row r="20" spans="2:9" x14ac:dyDescent="0.25">
      <c r="B20" s="30"/>
      <c r="C20" s="35" t="s">
        <v>35</v>
      </c>
      <c r="D20" s="33">
        <f>(D10*D15)/100</f>
        <v>142.19208570099997</v>
      </c>
      <c r="E20" s="33">
        <f t="shared" ref="E20:G20" si="1">(E10*E15)/100</f>
        <v>121.354460327</v>
      </c>
      <c r="F20" s="33">
        <f t="shared" si="1"/>
        <v>128.138754315</v>
      </c>
      <c r="G20" s="33">
        <f t="shared" si="1"/>
        <v>124.65445825499999</v>
      </c>
      <c r="H20" s="10"/>
      <c r="I20" s="10"/>
    </row>
    <row r="21" spans="2:9" x14ac:dyDescent="0.25">
      <c r="B21" s="30"/>
      <c r="C21" s="30"/>
      <c r="D21" s="31"/>
      <c r="E21" s="31"/>
      <c r="F21" s="31"/>
      <c r="G21" s="31"/>
      <c r="H21" s="10"/>
      <c r="I21" s="10"/>
    </row>
    <row r="22" spans="2:9" ht="33" customHeight="1" x14ac:dyDescent="0.25">
      <c r="B22" s="60" t="s">
        <v>39</v>
      </c>
      <c r="C22" s="60"/>
      <c r="D22" s="36">
        <f>D24+D25</f>
        <v>130.26133341999997</v>
      </c>
      <c r="E22" s="36">
        <f>E24+E25</f>
        <v>127.92201768000001</v>
      </c>
      <c r="F22" s="36">
        <f>F24+F25</f>
        <v>226.88024034</v>
      </c>
      <c r="G22" s="36">
        <f>G24+G25</f>
        <v>129.17481787</v>
      </c>
      <c r="H22" s="10"/>
      <c r="I22" s="10"/>
    </row>
    <row r="23" spans="2:9" x14ac:dyDescent="0.25">
      <c r="B23" s="30"/>
      <c r="C23" s="32" t="s">
        <v>32</v>
      </c>
      <c r="D23" s="33"/>
      <c r="E23" s="33"/>
      <c r="F23" s="33"/>
      <c r="G23" s="33"/>
      <c r="H23" s="10"/>
      <c r="I23" s="10"/>
    </row>
    <row r="24" spans="2:9" x14ac:dyDescent="0.25">
      <c r="B24" s="30"/>
      <c r="C24" s="30" t="s">
        <v>40</v>
      </c>
      <c r="D24" s="33">
        <f>(130261333.6-23852388.01-403843.17)/1000000</f>
        <v>106.00510241999999</v>
      </c>
      <c r="E24" s="33">
        <f>(127923395.92-25989643.89-368026.35)/1000000</f>
        <v>101.56572568000001</v>
      </c>
      <c r="F24" s="33">
        <f>(226891809.76-31181399.41-417968.01)/1000000</f>
        <v>195.29244234000001</v>
      </c>
      <c r="G24" s="33">
        <f>(129174815.42-20006448.83-335938.72)/1000000</f>
        <v>108.83242787</v>
      </c>
      <c r="H24" s="10"/>
      <c r="I24" s="10"/>
    </row>
    <row r="25" spans="2:9" x14ac:dyDescent="0.25">
      <c r="B25" s="30"/>
      <c r="C25" s="39" t="s">
        <v>41</v>
      </c>
      <c r="D25" s="33">
        <f>24256231/1000000</f>
        <v>24.256231</v>
      </c>
      <c r="E25" s="33">
        <f>26356292/1000000</f>
        <v>26.356292</v>
      </c>
      <c r="F25" s="33">
        <f>31587798/1000000</f>
        <v>31.587797999999999</v>
      </c>
      <c r="G25" s="33">
        <f>20342390/1000000</f>
        <v>20.342390000000002</v>
      </c>
      <c r="H25" s="10"/>
      <c r="I25" s="10"/>
    </row>
    <row r="26" spans="2:9" x14ac:dyDescent="0.25">
      <c r="B26" s="30"/>
      <c r="C26" s="30" t="s">
        <v>42</v>
      </c>
      <c r="D26" s="33"/>
      <c r="E26" s="33"/>
      <c r="F26" s="33"/>
      <c r="G26" s="33"/>
      <c r="H26" s="10"/>
      <c r="I26" s="10"/>
    </row>
    <row r="27" spans="2:9" x14ac:dyDescent="0.25">
      <c r="B27" s="30"/>
      <c r="C27" s="30"/>
      <c r="D27" s="31"/>
      <c r="E27" s="31"/>
      <c r="F27" s="31"/>
      <c r="G27" s="31"/>
      <c r="H27" s="10"/>
      <c r="I27" s="10"/>
    </row>
    <row r="28" spans="2:9" ht="30" customHeight="1" x14ac:dyDescent="0.25">
      <c r="B28" s="61" t="s">
        <v>43</v>
      </c>
      <c r="C28" s="61"/>
      <c r="D28" s="29"/>
      <c r="E28" s="29"/>
      <c r="F28" s="29"/>
      <c r="G28" s="29"/>
      <c r="H28" s="10"/>
      <c r="I28" s="10"/>
    </row>
    <row r="29" spans="2:9" ht="30" customHeight="1" x14ac:dyDescent="0.25">
      <c r="B29" s="56" t="s">
        <v>44</v>
      </c>
      <c r="C29" s="57"/>
      <c r="D29" s="42">
        <f>D17-D22</f>
        <v>21.002039136000008</v>
      </c>
      <c r="E29" s="42">
        <f>E17-E22</f>
        <v>24.391107112999975</v>
      </c>
      <c r="F29" s="42">
        <f>F17-F22</f>
        <v>-41.538816693999991</v>
      </c>
      <c r="G29" s="42">
        <f>G17-G22</f>
        <v>2.2346004089999951</v>
      </c>
      <c r="H29" s="10"/>
      <c r="I29" s="10"/>
    </row>
    <row r="30" spans="2:9" x14ac:dyDescent="0.25">
      <c r="D30" s="16"/>
      <c r="E30" s="16"/>
      <c r="F30" s="16"/>
      <c r="G30" s="16"/>
      <c r="H30" s="10"/>
      <c r="I30" s="10"/>
    </row>
    <row r="31" spans="2:9" x14ac:dyDescent="0.25">
      <c r="D31" s="16"/>
      <c r="E31" s="16"/>
      <c r="F31" s="16"/>
      <c r="G31" s="16"/>
      <c r="H31" s="10"/>
      <c r="I31" s="10"/>
    </row>
  </sheetData>
  <mergeCells count="13">
    <mergeCell ref="B29:C29"/>
    <mergeCell ref="B10:C10"/>
    <mergeCell ref="B11:C11"/>
    <mergeCell ref="B13:C13"/>
    <mergeCell ref="B17:C17"/>
    <mergeCell ref="B22:C22"/>
    <mergeCell ref="B28:C28"/>
    <mergeCell ref="B8:C8"/>
    <mergeCell ref="A1:G1"/>
    <mergeCell ref="A2:G2"/>
    <mergeCell ref="B3:C4"/>
    <mergeCell ref="D3:G3"/>
    <mergeCell ref="B6:C6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4211-7BA6-4B8A-BBAF-9E0FDDB0E33D}">
  <sheetPr>
    <tabColor rgb="FFFF0000"/>
  </sheetPr>
  <dimension ref="A1:I31"/>
  <sheetViews>
    <sheetView tabSelected="1" view="pageBreakPreview" topLeftCell="B1" zoomScale="110" zoomScaleNormal="110" zoomScaleSheetLayoutView="110" workbookViewId="0">
      <selection activeCell="E24" sqref="E24"/>
    </sheetView>
  </sheetViews>
  <sheetFormatPr defaultRowHeight="15" x14ac:dyDescent="0.25"/>
  <cols>
    <col min="1" max="1" width="9.85546875" hidden="1" customWidth="1"/>
    <col min="2" max="2" width="3.5703125" customWidth="1"/>
    <col min="3" max="3" width="47.140625" customWidth="1"/>
    <col min="4" max="7" width="12.85546875" customWidth="1"/>
  </cols>
  <sheetData>
    <row r="1" spans="1:9" ht="33.75" customHeight="1" x14ac:dyDescent="0.25">
      <c r="A1" s="62" t="s">
        <v>49</v>
      </c>
      <c r="B1" s="62"/>
      <c r="C1" s="62"/>
      <c r="D1" s="62"/>
      <c r="E1" s="62"/>
      <c r="F1" s="62"/>
      <c r="G1" s="62"/>
    </row>
    <row r="2" spans="1:9" ht="41.25" customHeight="1" x14ac:dyDescent="0.25">
      <c r="A2" s="63" t="s">
        <v>24</v>
      </c>
      <c r="B2" s="63"/>
      <c r="C2" s="63"/>
      <c r="D2" s="63"/>
      <c r="E2" s="63"/>
      <c r="F2" s="63"/>
      <c r="G2" s="63"/>
    </row>
    <row r="3" spans="1:9" x14ac:dyDescent="0.25">
      <c r="B3" s="64"/>
      <c r="C3" s="64"/>
      <c r="D3" s="65" t="s">
        <v>48</v>
      </c>
      <c r="E3" s="65"/>
      <c r="F3" s="65"/>
      <c r="G3" s="65"/>
    </row>
    <row r="4" spans="1:9" ht="15" customHeight="1" x14ac:dyDescent="0.25">
      <c r="B4" s="64"/>
      <c r="C4" s="64"/>
      <c r="D4" s="44" t="s">
        <v>27</v>
      </c>
      <c r="E4" s="44" t="s">
        <v>28</v>
      </c>
      <c r="F4" s="44" t="s">
        <v>29</v>
      </c>
      <c r="G4" s="44" t="s">
        <v>30</v>
      </c>
    </row>
    <row r="5" spans="1:9" x14ac:dyDescent="0.25">
      <c r="B5" s="43"/>
      <c r="C5" s="43"/>
      <c r="D5" s="28"/>
      <c r="E5" s="28"/>
      <c r="F5" s="28"/>
      <c r="G5" s="28"/>
    </row>
    <row r="6" spans="1:9" ht="31.5" customHeight="1" x14ac:dyDescent="0.25">
      <c r="B6" s="60" t="s">
        <v>26</v>
      </c>
      <c r="C6" s="66"/>
      <c r="D6" s="29">
        <v>5286.0533160000005</v>
      </c>
      <c r="E6" s="29">
        <v>5159.4308600000004</v>
      </c>
      <c r="F6" s="29">
        <v>7246.171284</v>
      </c>
      <c r="G6" s="29">
        <v>5659.8148899999997</v>
      </c>
    </row>
    <row r="7" spans="1:9" x14ac:dyDescent="0.25">
      <c r="B7" s="30"/>
      <c r="C7" s="30"/>
      <c r="D7" s="31"/>
      <c r="E7" s="31"/>
      <c r="F7" s="31"/>
      <c r="G7" s="31"/>
    </row>
    <row r="8" spans="1:9" ht="21.75" customHeight="1" x14ac:dyDescent="0.25">
      <c r="B8" s="59" t="s">
        <v>31</v>
      </c>
      <c r="C8" s="59"/>
      <c r="D8" s="29">
        <v>5116.9509684200002</v>
      </c>
      <c r="E8" s="29">
        <v>4975.1588147000002</v>
      </c>
      <c r="F8" s="29">
        <v>6993.4321392000002</v>
      </c>
      <c r="G8" s="29">
        <v>5486.6538452000004</v>
      </c>
      <c r="H8" s="10"/>
      <c r="I8" s="10"/>
    </row>
    <row r="9" spans="1:9" x14ac:dyDescent="0.25">
      <c r="B9" s="30"/>
      <c r="C9" s="32" t="s">
        <v>32</v>
      </c>
      <c r="D9" s="33"/>
      <c r="E9" s="33"/>
      <c r="F9" s="33"/>
      <c r="G9" s="33"/>
      <c r="H9" s="10"/>
      <c r="I9" s="10"/>
    </row>
    <row r="10" spans="1:9" ht="15.75" customHeight="1" x14ac:dyDescent="0.25">
      <c r="B10" s="58" t="s">
        <v>36</v>
      </c>
      <c r="C10" s="58"/>
      <c r="D10" s="33">
        <v>4849.5561084199999</v>
      </c>
      <c r="E10" s="33">
        <v>4162.6316446999999</v>
      </c>
      <c r="F10" s="33">
        <v>4841.9410822</v>
      </c>
      <c r="G10" s="33">
        <v>4848.9266791999999</v>
      </c>
      <c r="H10" s="10"/>
      <c r="I10" s="10"/>
    </row>
    <row r="11" spans="1:9" ht="15.75" customHeight="1" x14ac:dyDescent="0.25">
      <c r="B11" s="58" t="s">
        <v>33</v>
      </c>
      <c r="C11" s="58"/>
      <c r="D11" s="33">
        <v>267.39485999999999</v>
      </c>
      <c r="E11" s="33">
        <v>812.52716999999996</v>
      </c>
      <c r="F11" s="33">
        <v>2151.4910569999997</v>
      </c>
      <c r="G11" s="33">
        <v>637.72716600000001</v>
      </c>
      <c r="H11" s="10"/>
      <c r="I11" s="10"/>
    </row>
    <row r="12" spans="1:9" ht="16.5" customHeight="1" x14ac:dyDescent="0.25">
      <c r="B12" s="30"/>
      <c r="C12" s="30"/>
      <c r="D12" s="31"/>
      <c r="E12" s="31"/>
      <c r="F12" s="31"/>
      <c r="G12" s="31"/>
      <c r="H12" s="10"/>
      <c r="I12" s="10"/>
    </row>
    <row r="13" spans="1:9" ht="31.5" customHeight="1" x14ac:dyDescent="0.25">
      <c r="B13" s="59" t="s">
        <v>37</v>
      </c>
      <c r="C13" s="59"/>
      <c r="D13" s="34">
        <v>3.29</v>
      </c>
      <c r="E13" s="34">
        <v>3.29</v>
      </c>
      <c r="F13" s="34">
        <v>3.29</v>
      </c>
      <c r="G13" s="34">
        <v>3.29</v>
      </c>
      <c r="H13" s="10"/>
      <c r="I13" s="10"/>
    </row>
    <row r="14" spans="1:9" ht="14.25" customHeight="1" x14ac:dyDescent="0.25">
      <c r="B14" s="30"/>
      <c r="C14" s="35" t="s">
        <v>34</v>
      </c>
      <c r="D14" s="34">
        <v>3.29</v>
      </c>
      <c r="E14" s="34">
        <v>3.29</v>
      </c>
      <c r="F14" s="34">
        <v>3.29</v>
      </c>
      <c r="G14" s="34">
        <v>3.29</v>
      </c>
      <c r="H14" s="10"/>
      <c r="I14" s="10"/>
    </row>
    <row r="15" spans="1:9" ht="14.25" customHeight="1" x14ac:dyDescent="0.25">
      <c r="B15" s="30"/>
      <c r="C15" s="35" t="s">
        <v>35</v>
      </c>
      <c r="D15" s="34">
        <v>3.29</v>
      </c>
      <c r="E15" s="34">
        <v>3.29</v>
      </c>
      <c r="F15" s="34">
        <v>3.29</v>
      </c>
      <c r="G15" s="34">
        <v>3.29</v>
      </c>
      <c r="H15" s="10"/>
      <c r="I15" s="10"/>
    </row>
    <row r="16" spans="1:9" x14ac:dyDescent="0.25">
      <c r="B16" s="32"/>
      <c r="C16" s="30"/>
      <c r="D16" s="31"/>
      <c r="E16" s="31"/>
      <c r="F16" s="31"/>
      <c r="G16" s="31"/>
      <c r="H16" s="10"/>
      <c r="I16" s="10"/>
    </row>
    <row r="17" spans="2:9" ht="33" customHeight="1" x14ac:dyDescent="0.25">
      <c r="B17" s="60" t="s">
        <v>38</v>
      </c>
      <c r="C17" s="60"/>
      <c r="D17" s="36">
        <f>D19+D20</f>
        <v>168.34768686101802</v>
      </c>
      <c r="E17" s="36">
        <f>E19+E20</f>
        <v>163.68272500363</v>
      </c>
      <c r="F17" s="36">
        <f>F19+F20</f>
        <v>230.08391737967997</v>
      </c>
      <c r="G17" s="36">
        <f>G19+G20</f>
        <v>180.51091150708001</v>
      </c>
      <c r="H17" s="10"/>
      <c r="I17" s="10"/>
    </row>
    <row r="18" spans="2:9" x14ac:dyDescent="0.25">
      <c r="B18" s="37"/>
      <c r="C18" s="32" t="s">
        <v>32</v>
      </c>
      <c r="D18" s="33"/>
      <c r="E18" s="33"/>
      <c r="F18" s="33"/>
      <c r="G18" s="33"/>
      <c r="H18" s="10"/>
      <c r="I18" s="10"/>
    </row>
    <row r="19" spans="2:9" x14ac:dyDescent="0.25">
      <c r="B19" s="37"/>
      <c r="C19" s="35" t="s">
        <v>34</v>
      </c>
      <c r="D19" s="38">
        <f>(D11*D14)/100</f>
        <v>8.7972908939999996</v>
      </c>
      <c r="E19" s="38">
        <f t="shared" ref="E19:G19" si="0">(E11*E14)/100</f>
        <v>26.732143892999996</v>
      </c>
      <c r="F19" s="38">
        <f t="shared" si="0"/>
        <v>70.78405577529999</v>
      </c>
      <c r="G19" s="38">
        <f t="shared" si="0"/>
        <v>20.981223761400003</v>
      </c>
      <c r="H19" s="10"/>
      <c r="I19" s="10"/>
    </row>
    <row r="20" spans="2:9" x14ac:dyDescent="0.25">
      <c r="B20" s="30"/>
      <c r="C20" s="35" t="s">
        <v>35</v>
      </c>
      <c r="D20" s="33">
        <f>(D10*D15)/100</f>
        <v>159.55039596701801</v>
      </c>
      <c r="E20" s="33">
        <f t="shared" ref="E20:G20" si="1">(E10*E15)/100</f>
        <v>136.95058111063</v>
      </c>
      <c r="F20" s="33">
        <f t="shared" si="1"/>
        <v>159.29986160438</v>
      </c>
      <c r="G20" s="33">
        <f t="shared" si="1"/>
        <v>159.52968774568001</v>
      </c>
      <c r="H20" s="10"/>
      <c r="I20" s="10"/>
    </row>
    <row r="21" spans="2:9" x14ac:dyDescent="0.25">
      <c r="B21" s="30"/>
      <c r="C21" s="30"/>
      <c r="D21" s="31"/>
      <c r="E21" s="31"/>
      <c r="F21" s="31"/>
      <c r="G21" s="31"/>
      <c r="H21" s="10"/>
      <c r="I21" s="10"/>
    </row>
    <row r="22" spans="2:9" ht="33" customHeight="1" x14ac:dyDescent="0.25">
      <c r="B22" s="60" t="s">
        <v>39</v>
      </c>
      <c r="C22" s="60"/>
      <c r="D22" s="36">
        <f>D24+D25</f>
        <v>151.083416</v>
      </c>
      <c r="E22" s="36">
        <f>E24+E25</f>
        <v>157.84221199999999</v>
      </c>
      <c r="F22" s="36">
        <f>F24+F25</f>
        <v>199.239767</v>
      </c>
      <c r="G22" s="36">
        <f>G24+G25</f>
        <v>130.44754</v>
      </c>
      <c r="H22" s="10"/>
      <c r="I22" s="10"/>
    </row>
    <row r="23" spans="2:9" x14ac:dyDescent="0.25">
      <c r="B23" s="30"/>
      <c r="C23" s="32" t="s">
        <v>32</v>
      </c>
      <c r="D23" s="33"/>
      <c r="E23" s="33"/>
      <c r="F23" s="33"/>
      <c r="G23" s="33"/>
      <c r="H23" s="10"/>
      <c r="I23" s="10"/>
    </row>
    <row r="24" spans="2:9" x14ac:dyDescent="0.25">
      <c r="B24" s="30"/>
      <c r="C24" s="30" t="s">
        <v>40</v>
      </c>
      <c r="D24" s="33">
        <v>128.118050409224</v>
      </c>
      <c r="E24" s="33">
        <v>132.76340447644</v>
      </c>
      <c r="F24" s="33">
        <v>164.82334377224001</v>
      </c>
      <c r="G24" s="33">
        <v>106.90830821343999</v>
      </c>
      <c r="H24" s="10"/>
      <c r="I24" s="10"/>
    </row>
    <row r="25" spans="2:9" x14ac:dyDescent="0.25">
      <c r="B25" s="30"/>
      <c r="C25" s="39" t="s">
        <v>41</v>
      </c>
      <c r="D25" s="33">
        <v>22.965365590775999</v>
      </c>
      <c r="E25" s="33">
        <v>25.078807523559998</v>
      </c>
      <c r="F25" s="33">
        <v>34.416423227759999</v>
      </c>
      <c r="G25" s="33">
        <v>23.539231786559998</v>
      </c>
      <c r="H25" s="10"/>
      <c r="I25" s="10"/>
    </row>
    <row r="26" spans="2:9" x14ac:dyDescent="0.25">
      <c r="B26" s="30"/>
      <c r="C26" s="30" t="s">
        <v>42</v>
      </c>
      <c r="D26" s="33"/>
      <c r="E26" s="33"/>
      <c r="F26" s="33"/>
      <c r="G26" s="33"/>
      <c r="H26" s="10"/>
      <c r="I26" s="10"/>
    </row>
    <row r="27" spans="2:9" x14ac:dyDescent="0.25">
      <c r="B27" s="30"/>
      <c r="C27" s="30"/>
      <c r="D27" s="31"/>
      <c r="E27" s="31"/>
      <c r="F27" s="31"/>
      <c r="G27" s="31"/>
      <c r="H27" s="10"/>
      <c r="I27" s="10"/>
    </row>
    <row r="28" spans="2:9" ht="30" customHeight="1" x14ac:dyDescent="0.25">
      <c r="B28" s="61" t="s">
        <v>43</v>
      </c>
      <c r="C28" s="61"/>
      <c r="D28" s="29"/>
      <c r="E28" s="29"/>
      <c r="F28" s="29"/>
      <c r="G28" s="29"/>
      <c r="H28" s="10"/>
      <c r="I28" s="10"/>
    </row>
    <row r="29" spans="2:9" ht="30" customHeight="1" x14ac:dyDescent="0.25">
      <c r="B29" s="56" t="s">
        <v>44</v>
      </c>
      <c r="C29" s="57"/>
      <c r="D29" s="42">
        <f>D17-D22</f>
        <v>17.264270861018019</v>
      </c>
      <c r="E29" s="42">
        <f>E17-E22</f>
        <v>5.8405130036300079</v>
      </c>
      <c r="F29" s="42">
        <f>F17-F22</f>
        <v>30.844150379679974</v>
      </c>
      <c r="G29" s="42">
        <f>G17-G22</f>
        <v>50.063371507080006</v>
      </c>
      <c r="H29" s="10"/>
      <c r="I29" s="10"/>
    </row>
    <row r="30" spans="2:9" x14ac:dyDescent="0.25">
      <c r="D30" s="16"/>
      <c r="E30" s="16"/>
      <c r="F30" s="16"/>
      <c r="G30" s="16"/>
      <c r="H30" s="10"/>
      <c r="I30" s="10"/>
    </row>
    <row r="31" spans="2:9" x14ac:dyDescent="0.25">
      <c r="D31" s="16"/>
      <c r="E31" s="16"/>
      <c r="F31" s="16"/>
      <c r="G31" s="16"/>
      <c r="H31" s="10"/>
      <c r="I31" s="10"/>
    </row>
  </sheetData>
  <mergeCells count="13">
    <mergeCell ref="B29:C29"/>
    <mergeCell ref="B10:C10"/>
    <mergeCell ref="B11:C11"/>
    <mergeCell ref="B13:C13"/>
    <mergeCell ref="B17:C17"/>
    <mergeCell ref="B22:C22"/>
    <mergeCell ref="B28:C28"/>
    <mergeCell ref="A1:G1"/>
    <mergeCell ref="A2:G2"/>
    <mergeCell ref="B3:C4"/>
    <mergeCell ref="D3:G3"/>
    <mergeCell ref="B6:C6"/>
    <mergeCell ref="B8:C8"/>
  </mergeCells>
  <pageMargins left="3.937007874015748E-2" right="7.874015748031496E-2" top="0.55118110236220474" bottom="0.35433070866141736" header="0.31496062992125984" footer="0.31496062992125984"/>
  <pageSetup paperSize="9" scale="9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OPEX (3)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 Павел А.</dc:creator>
  <cp:lastModifiedBy>Shuhrat Asoev</cp:lastModifiedBy>
  <cp:lastPrinted>2024-02-29T03:13:18Z</cp:lastPrinted>
  <dcterms:created xsi:type="dcterms:W3CDTF">2020-02-10T15:02:25Z</dcterms:created>
  <dcterms:modified xsi:type="dcterms:W3CDTF">2025-01-23T11:05:37Z</dcterms:modified>
</cp:coreProperties>
</file>